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F:\Projects\Calculators\Total Compensation Calculator\2025\"/>
    </mc:Choice>
  </mc:AlternateContent>
  <xr:revisionPtr revIDLastSave="0" documentId="8_{CAE5DDBD-986D-4626-8D8C-48774D2C9877}" xr6:coauthVersionLast="47" xr6:coauthVersionMax="47" xr10:uidLastSave="{00000000-0000-0000-0000-000000000000}"/>
  <workbookProtection workbookAlgorithmName="SHA-512" workbookHashValue="V/mNLYCGuuHskA6Yg8TSDVmPBRSDnkNfzGk1rELQ8wH5FXdTf0jamnKmpmCzfsEiMSeVfA+my1H3nVWeX1FSOQ==" workbookSaltValue="j9Yda6tcgzNOGBhE/kxbSg==" workbookSpinCount="100000" lockStructure="1"/>
  <bookViews>
    <workbookView xWindow="-120" yWindow="-120" windowWidth="29040" windowHeight="15720" xr2:uid="{00000000-000D-0000-FFFF-FFFF00000000}"/>
  </bookViews>
  <sheets>
    <sheet name="Employee Data" sheetId="1" r:id="rId1"/>
    <sheet name="Contribution Data" sheetId="2" state="hidden" r:id="rId2"/>
  </sheets>
  <definedNames>
    <definedName name="_xlnm.Print_Area" localSheetId="0">'Employee Data'!$B$1:$K$32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B9" i="1"/>
  <c r="D14" i="1"/>
  <c r="B14" i="1"/>
  <c r="C12" i="1"/>
  <c r="D10" i="1"/>
  <c r="C13" i="1"/>
  <c r="B13" i="1"/>
  <c r="D12" i="1" l="1"/>
  <c r="D11" i="1"/>
  <c r="C11" i="1"/>
  <c r="B3" i="2"/>
  <c r="D9" i="1"/>
  <c r="C10" i="1"/>
  <c r="C9" i="1"/>
  <c r="B10" i="1"/>
  <c r="B22" i="2"/>
  <c r="B24" i="2" s="1"/>
  <c r="B23" i="2"/>
  <c r="C14" i="1" s="1"/>
  <c r="B6" i="2" l="1"/>
  <c r="B7" i="2" l="1"/>
  <c r="C19" i="1" l="1"/>
  <c r="H8" i="1" l="1"/>
  <c r="D16" i="1" l="1"/>
  <c r="B16" i="1"/>
  <c r="C16" i="1"/>
  <c r="B4" i="2" l="1"/>
  <c r="B5" i="2"/>
  <c r="B2" i="2"/>
  <c r="B8" i="2" l="1"/>
  <c r="B12" i="1"/>
  <c r="C20" i="1" s="1"/>
  <c r="B14" i="2" l="1"/>
  <c r="D2" i="2" s="1"/>
  <c r="B16" i="2"/>
  <c r="B13" i="2"/>
  <c r="D6" i="2" l="1"/>
  <c r="D7" i="2"/>
  <c r="D4" i="2"/>
  <c r="D5" i="2"/>
  <c r="D3" i="2"/>
  <c r="D8" i="2"/>
  <c r="J8" i="1"/>
  <c r="B17" i="2"/>
</calcChain>
</file>

<file path=xl/sharedStrings.xml><?xml version="1.0" encoding="utf-8"?>
<sst xmlns="http://schemas.openxmlformats.org/spreadsheetml/2006/main" count="78" uniqueCount="73">
  <si>
    <t xml:space="preserve"> </t>
  </si>
  <si>
    <t xml:space="preserve">  </t>
  </si>
  <si>
    <t xml:space="preserve">   Includes paid time off</t>
  </si>
  <si>
    <t xml:space="preserve">     </t>
  </si>
  <si>
    <t>Y</t>
  </si>
  <si>
    <t>N</t>
  </si>
  <si>
    <t>Total compensation also includes training opportunities, work environment, flexible schedules, etc., which are not reflected here.</t>
  </si>
  <si>
    <t xml:space="preserve"> Total Compensation and the State's Investment in Employee Benefits</t>
  </si>
  <si>
    <t>Personal Information</t>
  </si>
  <si>
    <t>Calculated Total Compensation</t>
  </si>
  <si>
    <t xml:space="preserve">                  </t>
  </si>
  <si>
    <t>Other (LTD, Basic Life, Retiree Basic Life, Medicare)</t>
  </si>
  <si>
    <t>Benefits (per pay period):</t>
  </si>
  <si>
    <t>Salary</t>
  </si>
  <si>
    <t>Enter your personal information in the gray highlighted areas below.</t>
  </si>
  <si>
    <t>Social Security**</t>
  </si>
  <si>
    <t>Retiree Medical Insurance</t>
  </si>
  <si>
    <t xml:space="preserve">Medical Insurance
</t>
  </si>
  <si>
    <t>Are You
Eligible to Retire?
(Y or N)</t>
  </si>
  <si>
    <t xml:space="preserve">Annual Leave Earnings                </t>
  </si>
  <si>
    <t>Sick Leave Earnings</t>
  </si>
  <si>
    <t>Do You Have State Medical Insurance?
(Y or N)</t>
  </si>
  <si>
    <t>Your MONTHLY contribution to
MO Deferred Comp?</t>
  </si>
  <si>
    <t>Your
Hourly Rate:</t>
  </si>
  <si>
    <t>Pension*</t>
  </si>
  <si>
    <t>Holiday Earnings****</t>
  </si>
  <si>
    <t xml:space="preserve">*This is the employer contribution rate for general state employees. If you are in the Judicial Plan, contact MOSERS for information. </t>
  </si>
  <si>
    <t>Semi-Monthly
Pay Period Salary
(Before deductions)</t>
  </si>
  <si>
    <t>Salary (per pay period):</t>
  </si>
  <si>
    <t>**** There are 13 State holidays, which averages out to 4.33 hours of holiday pay per pay period.</t>
  </si>
  <si>
    <t>Social Security Tax Rate</t>
  </si>
  <si>
    <t>Social Security Salary Cap</t>
  </si>
  <si>
    <t>Benefits (per pay period) per Employee Data tab</t>
  </si>
  <si>
    <t>Total Salary + Benefits (above)</t>
  </si>
  <si>
    <t>Total of Benefits (above)</t>
  </si>
  <si>
    <t>Social Security Salary Cap per pay period</t>
  </si>
  <si>
    <t xml:space="preserve">All figures are an average, and may not apply for every employee. Your MOSERS Annual Benefit Statement will contain more individualized
</t>
  </si>
  <si>
    <t xml:space="preserve">information based on your situation. Where indicated, some costs are a percentage of pay while others are a flat rate. </t>
  </si>
  <si>
    <t xml:space="preserve">*** Employees can earn a dollar-for-dollar MO Deferred Comp Match from $25-$75 per month. Employees can contribute up to the </t>
  </si>
  <si>
    <t xml:space="preserve">annual maximum allowed by the IRS.  </t>
  </si>
  <si>
    <t>Pie Chart %</t>
  </si>
  <si>
    <t>Basic Life Insurance</t>
  </si>
  <si>
    <t>Medical Insurance</t>
  </si>
  <si>
    <t>Medicare</t>
  </si>
  <si>
    <t>Contribution Rates</t>
  </si>
  <si>
    <t>Long-Term Disability</t>
  </si>
  <si>
    <t>Retiree Basic Life Insurance</t>
  </si>
  <si>
    <t>MO Deferred Compensation Match***</t>
  </si>
  <si>
    <t>Total of Benefits (above) - Benefits (per pay period)</t>
  </si>
  <si>
    <t>Per Pay Period
Leave Accrual
(Hours: 5, 6, 7)</t>
  </si>
  <si>
    <t xml:space="preserve">Pay Period Leave Accrual &lt;10 Years of Service </t>
  </si>
  <si>
    <t>Pay Period Leave Accrual 15 Years of Service</t>
  </si>
  <si>
    <t>Pay Period Leave Accrual 10 to 14.9 Years Service</t>
  </si>
  <si>
    <t>Cost of Benefits</t>
  </si>
  <si>
    <t>Dropdown List Yes</t>
  </si>
  <si>
    <t>Dropdown List No</t>
  </si>
  <si>
    <t>Your
Annual Salary:</t>
  </si>
  <si>
    <t>Annual State Investment
in Your Salary &amp; Benefits:</t>
  </si>
  <si>
    <t xml:space="preserve">Your total compensation is more than the dollars you receive in your paycheck. The information below reflects the amount the state pays each pay period for an employee with this salary in order to provide these valuable benefits. This calculator assumes semi-monthly pay periods except MO Deferred Comp contribution is monthly. </t>
  </si>
  <si>
    <t>Social Security</t>
  </si>
  <si>
    <r>
      <t xml:space="preserve">Social Security Salary Cap </t>
    </r>
    <r>
      <rPr>
        <b/>
        <sz val="10"/>
        <rFont val="Arial"/>
        <family val="2"/>
      </rPr>
      <t>below</t>
    </r>
    <r>
      <rPr>
        <sz val="10"/>
        <rFont val="Arial"/>
      </rPr>
      <t xml:space="preserve"> per pay period cap</t>
    </r>
  </si>
  <si>
    <r>
      <t xml:space="preserve">Social Security Salary Cap </t>
    </r>
    <r>
      <rPr>
        <b/>
        <sz val="10"/>
        <rFont val="Arial"/>
        <family val="2"/>
      </rPr>
      <t>at</t>
    </r>
    <r>
      <rPr>
        <sz val="10"/>
        <rFont val="Arial"/>
        <family val="2"/>
      </rPr>
      <t xml:space="preserve"> per pay period cap</t>
    </r>
  </si>
  <si>
    <t>Annual Leave</t>
  </si>
  <si>
    <t>Dropdown List Values</t>
  </si>
  <si>
    <t>NOTES</t>
  </si>
  <si>
    <r>
      <t xml:space="preserve">Edit </t>
    </r>
    <r>
      <rPr>
        <b/>
        <sz val="10"/>
        <color rgb="FFFF0000"/>
        <rFont val="Arial"/>
        <family val="2"/>
      </rPr>
      <t>ONLY</t>
    </r>
    <r>
      <rPr>
        <sz val="10"/>
        <color rgb="FFFF0000"/>
        <rFont val="Arial"/>
        <family val="2"/>
      </rPr>
      <t xml:space="preserve"> Fields in Grey</t>
    </r>
  </si>
  <si>
    <t>ONLY make updates to fields highlighted in grey.</t>
  </si>
  <si>
    <t xml:space="preserve">MO Deferred Comp Monthly Match***                    </t>
  </si>
  <si>
    <r>
      <t>Pie Chart Titles (</t>
    </r>
    <r>
      <rPr>
        <b/>
        <sz val="12"/>
        <color rgb="FFFF0000"/>
        <rFont val="Arial"/>
        <family val="2"/>
      </rPr>
      <t>DO NOT EDIT</t>
    </r>
    <r>
      <rPr>
        <b/>
        <sz val="9"/>
        <rFont val="Arial"/>
        <family val="2"/>
      </rPr>
      <t xml:space="preserve"> as these appear on Pie Chart)</t>
    </r>
  </si>
  <si>
    <t>The difference should always be 0. This is a data check for both tabs.</t>
  </si>
  <si>
    <r>
      <rPr>
        <sz val="10"/>
        <rFont val="Arial"/>
        <family val="2"/>
      </rPr>
      <t>Social Secuirty Salary Cap is set by Federal Government.</t>
    </r>
    <r>
      <rPr>
        <sz val="10"/>
        <color rgb="FFFF0000"/>
        <rFont val="Arial"/>
        <family val="2"/>
      </rPr>
      <t xml:space="preserve"> Check for updates yearly</t>
    </r>
  </si>
  <si>
    <t>** For 2025, the Social Security salary cap is $176,100. The 6.2% tax is not paid on earnings above the salary cap.</t>
  </si>
  <si>
    <t xml:space="preserve">Effective April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</si>
</sst>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409]#,##0.00_);\([$$-409]#,##0.00\)"/>
    <numFmt numFmtId="165" formatCode="0.000%"/>
    <numFmt numFmtId="166" formatCode="0.0%"/>
    <numFmt numFmtId="167" formatCode=".000%"/>
  </numFmts>
  <fonts count="39" x14ac:knownFonts="1">
    <font>
      <sz val="10"/>
      <name val="Arial"/>
    </font>
    <font>
      <sz val="10"/>
      <name val="Arial"/>
      <family val="2"/>
    </font>
    <font>
      <sz val="12"/>
      <name val="Arial"/>
      <family val="2"/>
    </font>
    <font>
      <sz val="10"/>
      <name val="Arial"/>
      <family val="2"/>
    </font>
    <font>
      <sz val="18"/>
      <name val="Calibri"/>
      <family val="2"/>
    </font>
    <font>
      <i/>
      <sz val="12"/>
      <name val="Calibri"/>
      <family val="2"/>
    </font>
    <font>
      <sz val="16"/>
      <name val="Calibri"/>
      <family val="2"/>
    </font>
    <font>
      <i/>
      <sz val="11"/>
      <color rgb="FF7F7F7F"/>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b/>
      <sz val="36"/>
      <color theme="3"/>
      <name val="Cambria"/>
      <family val="2"/>
      <scheme val="major"/>
    </font>
    <font>
      <b/>
      <sz val="14"/>
      <color theme="3"/>
      <name val="Calibri"/>
      <family val="2"/>
      <scheme val="minor"/>
    </font>
    <font>
      <b/>
      <sz val="20"/>
      <color theme="1"/>
      <name val="Calibri"/>
      <family val="2"/>
      <scheme val="minor"/>
    </font>
    <font>
      <i/>
      <sz val="12"/>
      <color theme="1"/>
      <name val="Calibri"/>
      <family val="2"/>
      <scheme val="minor"/>
    </font>
    <font>
      <sz val="12"/>
      <color theme="1"/>
      <name val="Arial"/>
      <family val="2"/>
    </font>
    <font>
      <sz val="10"/>
      <name val="Arial"/>
      <family val="2"/>
    </font>
    <font>
      <b/>
      <sz val="28"/>
      <color theme="0"/>
      <name val="Segoe UI"/>
      <family val="2"/>
    </font>
    <font>
      <b/>
      <sz val="14"/>
      <color theme="0"/>
      <name val="Segoe UI"/>
      <family val="2"/>
    </font>
    <font>
      <b/>
      <sz val="14"/>
      <color theme="1" tint="0.14999847407452621"/>
      <name val="Segoe UI"/>
      <family val="2"/>
    </font>
    <font>
      <b/>
      <sz val="14"/>
      <color theme="1" tint="0.14996795556505021"/>
      <name val="Segoe Print"/>
    </font>
    <font>
      <b/>
      <sz val="14"/>
      <color theme="1" tint="0.14996795556505021"/>
      <name val="Segoe UI"/>
      <family val="2"/>
    </font>
    <font>
      <b/>
      <sz val="16"/>
      <color theme="5"/>
      <name val="Segoe UI"/>
      <family val="2"/>
    </font>
    <font>
      <b/>
      <sz val="16"/>
      <color rgb="FF006394"/>
      <name val="Segoe UI"/>
      <family val="2"/>
    </font>
    <font>
      <b/>
      <sz val="18"/>
      <color rgb="FF006394"/>
      <name val="Segoe UI"/>
      <family val="2"/>
    </font>
    <font>
      <sz val="14"/>
      <color theme="0"/>
      <name val="Segoe UI"/>
      <family val="2"/>
    </font>
    <font>
      <i/>
      <sz val="12"/>
      <color theme="1"/>
      <name val="Segoe UI"/>
      <family val="2"/>
    </font>
    <font>
      <i/>
      <sz val="12"/>
      <color rgb="FF7F7F7F"/>
      <name val="Segoe UI"/>
      <family val="2"/>
    </font>
    <font>
      <b/>
      <sz val="15"/>
      <color rgb="FF006394"/>
      <name val="Segoe UI"/>
      <family val="2"/>
    </font>
    <font>
      <u/>
      <sz val="10"/>
      <color theme="10"/>
      <name val="Arial"/>
      <family val="2"/>
    </font>
    <font>
      <sz val="10"/>
      <color rgb="FFFF0000"/>
      <name val="Arial"/>
      <family val="2"/>
    </font>
    <font>
      <b/>
      <sz val="10"/>
      <name val="Arial"/>
      <family val="2"/>
    </font>
    <font>
      <b/>
      <sz val="12"/>
      <name val="Arial"/>
      <family val="2"/>
    </font>
    <font>
      <b/>
      <sz val="10"/>
      <color rgb="FFFF0000"/>
      <name val="Arial"/>
      <family val="2"/>
    </font>
    <font>
      <b/>
      <sz val="9"/>
      <name val="Arial"/>
      <family val="2"/>
    </font>
    <font>
      <b/>
      <sz val="12"/>
      <color rgb="FFFF0000"/>
      <name val="Arial"/>
      <family val="2"/>
    </font>
    <font>
      <b/>
      <sz val="12"/>
      <name val="Segoe UI"/>
      <family val="2"/>
    </font>
  </fonts>
  <fills count="16">
    <fill>
      <patternFill patternType="none"/>
    </fill>
    <fill>
      <patternFill patternType="gray125"/>
    </fill>
    <fill>
      <patternFill patternType="solid">
        <fgColor indexed="9"/>
        <bgColor indexed="45"/>
      </patternFill>
    </fill>
    <fill>
      <patternFill patternType="solid">
        <fgColor rgb="FFF2F2F2"/>
      </patternFill>
    </fill>
    <fill>
      <patternFill patternType="solid">
        <fgColor theme="0"/>
        <bgColor indexed="64"/>
      </patternFill>
    </fill>
    <fill>
      <patternFill patternType="solid">
        <fgColor theme="4" tint="0.79998168889431442"/>
        <bgColor indexed="64"/>
      </patternFill>
    </fill>
    <fill>
      <patternFill patternType="solid">
        <fgColor rgb="FF0091BA"/>
        <bgColor indexed="64"/>
      </patternFill>
    </fill>
    <fill>
      <patternFill patternType="solid">
        <fgColor theme="1" tint="0.14999847407452621"/>
        <bgColor indexed="64"/>
      </patternFill>
    </fill>
    <fill>
      <patternFill patternType="solid">
        <fgColor rgb="FF006394"/>
        <bgColor indexed="64"/>
      </patternFill>
    </fill>
    <fill>
      <patternFill patternType="solid">
        <fgColor rgb="FFDD6726"/>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top/>
      <bottom style="thin">
        <color theme="1" tint="0.149937437055574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theme="1" tint="0.14993743705557422"/>
      </bottom>
      <diagonal/>
    </border>
    <border>
      <left/>
      <right style="thin">
        <color indexed="64"/>
      </right>
      <top/>
      <bottom style="thin">
        <color theme="1" tint="0.149937437055574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13">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23" fillId="0" borderId="7" applyNumberFormat="0" applyFill="0" applyProtection="0">
      <alignment wrapText="1"/>
    </xf>
    <xf numFmtId="0" fontId="8" fillId="0" borderId="3" applyNumberFormat="0" applyFill="0" applyAlignment="0" applyProtection="0"/>
    <xf numFmtId="0" fontId="22" fillId="0" borderId="6" applyNumberFormat="0" applyFill="0" applyAlignment="0" applyProtection="0"/>
    <xf numFmtId="0" fontId="9" fillId="5" borderId="2" applyNumberFormat="0" applyAlignment="0" applyProtection="0"/>
    <xf numFmtId="0" fontId="10" fillId="3" borderId="4" applyNumberFormat="0" applyAlignment="0" applyProtection="0"/>
    <xf numFmtId="0" fontId="11" fillId="0" borderId="0" applyNumberFormat="0" applyFill="0" applyBorder="0" applyAlignment="0" applyProtection="0"/>
    <xf numFmtId="0" fontId="12" fillId="0" borderId="5" applyNumberFormat="0" applyFill="0" applyAlignment="0" applyProtection="0"/>
    <xf numFmtId="9" fontId="18" fillId="0" borderId="0" applyFont="0" applyFill="0" applyBorder="0" applyAlignment="0" applyProtection="0"/>
    <xf numFmtId="0" fontId="31" fillId="0" borderId="0" applyNumberFormat="0" applyFill="0" applyBorder="0" applyAlignment="0" applyProtection="0"/>
    <xf numFmtId="0" fontId="26" fillId="10" borderId="18">
      <alignment horizontal="center" vertical="center"/>
      <protection locked="0"/>
    </xf>
  </cellStyleXfs>
  <cellXfs count="119">
    <xf numFmtId="0" fontId="0" fillId="0" borderId="0" xfId="0"/>
    <xf numFmtId="0" fontId="2" fillId="2" borderId="1" xfId="1" applyNumberFormat="1" applyFont="1" applyFill="1" applyBorder="1" applyAlignment="1" applyProtection="1">
      <alignment horizontal="center" vertical="center"/>
      <protection locked="0"/>
    </xf>
    <xf numFmtId="7" fontId="0" fillId="0" borderId="0" xfId="0" applyNumberFormat="1"/>
    <xf numFmtId="0" fontId="3" fillId="0" borderId="0" xfId="0" applyFont="1"/>
    <xf numFmtId="0" fontId="8" fillId="0" borderId="3" xfId="4"/>
    <xf numFmtId="0" fontId="10" fillId="3" borderId="4" xfId="7"/>
    <xf numFmtId="0" fontId="22" fillId="0" borderId="6" xfId="5"/>
    <xf numFmtId="0" fontId="0" fillId="0" borderId="0" xfId="0" applyAlignment="1">
      <alignment horizontal="center"/>
    </xf>
    <xf numFmtId="0" fontId="10" fillId="0" borderId="0" xfId="7" applyFill="1" applyBorder="1"/>
    <xf numFmtId="0" fontId="2" fillId="0" borderId="0" xfId="0" applyFont="1"/>
    <xf numFmtId="0" fontId="22" fillId="0" borderId="0" xfId="5" applyFill="1" applyBorder="1"/>
    <xf numFmtId="0" fontId="8" fillId="0" borderId="0" xfId="4" applyFill="1" applyBorder="1"/>
    <xf numFmtId="7" fontId="15" fillId="4" borderId="0" xfId="1" applyNumberFormat="1" applyFont="1" applyFill="1" applyBorder="1" applyAlignment="1">
      <alignment horizontal="center" vertical="center"/>
    </xf>
    <xf numFmtId="0" fontId="1" fillId="0" borderId="0" xfId="0" applyFont="1"/>
    <xf numFmtId="165" fontId="0" fillId="0" borderId="0" xfId="10" applyNumberFormat="1" applyFont="1"/>
    <xf numFmtId="0" fontId="0" fillId="4" borderId="0" xfId="0" applyFill="1"/>
    <xf numFmtId="0" fontId="22" fillId="4" borderId="0" xfId="5" applyFill="1" applyBorder="1"/>
    <xf numFmtId="0" fontId="10" fillId="4" borderId="0" xfId="7" applyFill="1" applyBorder="1"/>
    <xf numFmtId="0" fontId="8" fillId="4" borderId="0" xfId="4" applyFill="1" applyBorder="1"/>
    <xf numFmtId="0" fontId="25" fillId="4" borderId="0" xfId="6" applyFont="1" applyFill="1" applyBorder="1" applyAlignment="1" applyProtection="1">
      <alignment horizontal="center" vertical="center"/>
      <protection locked="0"/>
    </xf>
    <xf numFmtId="0" fontId="2" fillId="4" borderId="0" xfId="0" applyFont="1" applyFill="1"/>
    <xf numFmtId="0" fontId="13" fillId="4" borderId="0" xfId="8" applyFont="1" applyFill="1" applyBorder="1" applyProtection="1">
      <protection locked="0"/>
    </xf>
    <xf numFmtId="0" fontId="13" fillId="0" borderId="0" xfId="8" applyFont="1" applyProtection="1">
      <protection locked="0"/>
    </xf>
    <xf numFmtId="0" fontId="0" fillId="0" borderId="0" xfId="0" applyProtection="1">
      <protection locked="0"/>
    </xf>
    <xf numFmtId="0" fontId="0" fillId="4" borderId="0" xfId="0" applyFill="1" applyProtection="1">
      <protection locked="0"/>
    </xf>
    <xf numFmtId="0" fontId="22" fillId="4" borderId="0" xfId="5" applyFill="1" applyBorder="1" applyProtection="1">
      <protection locked="0"/>
    </xf>
    <xf numFmtId="0" fontId="22" fillId="0" borderId="0" xfId="5" applyBorder="1" applyAlignment="1" applyProtection="1">
      <protection locked="0"/>
    </xf>
    <xf numFmtId="0" fontId="22" fillId="0" borderId="6" xfId="5" applyProtection="1">
      <protection locked="0"/>
    </xf>
    <xf numFmtId="0" fontId="20" fillId="4" borderId="0" xfId="3" applyFont="1" applyFill="1" applyBorder="1" applyAlignment="1" applyProtection="1">
      <alignment horizontal="left" vertical="center" wrapText="1" indent="3"/>
    </xf>
    <xf numFmtId="0" fontId="21" fillId="4" borderId="0" xfId="3" applyFont="1" applyFill="1" applyBorder="1" applyAlignment="1" applyProtection="1">
      <alignment horizontal="center" wrapText="1"/>
    </xf>
    <xf numFmtId="0" fontId="23" fillId="4" borderId="15" xfId="3" applyFill="1" applyBorder="1" applyAlignment="1" applyProtection="1">
      <alignment horizontal="center" wrapText="1"/>
    </xf>
    <xf numFmtId="7" fontId="24" fillId="0" borderId="13" xfId="1" applyNumberFormat="1" applyFont="1" applyFill="1" applyBorder="1" applyAlignment="1" applyProtection="1">
      <alignment horizontal="center" vertical="center"/>
    </xf>
    <xf numFmtId="7" fontId="24" fillId="0" borderId="6" xfId="1" applyNumberFormat="1" applyFont="1" applyFill="1" applyBorder="1" applyAlignment="1" applyProtection="1">
      <alignment horizontal="center" vertical="center"/>
    </xf>
    <xf numFmtId="0" fontId="20" fillId="8" borderId="10" xfId="5" applyFont="1" applyFill="1" applyBorder="1" applyAlignment="1" applyProtection="1">
      <alignment horizontal="center" wrapText="1"/>
    </xf>
    <xf numFmtId="0" fontId="14" fillId="4" borderId="0" xfId="5" applyFont="1" applyFill="1" applyBorder="1" applyAlignment="1" applyProtection="1">
      <alignment horizontal="center" wrapText="1"/>
    </xf>
    <xf numFmtId="7" fontId="25" fillId="0" borderId="13" xfId="1" applyNumberFormat="1" applyFont="1" applyFill="1" applyBorder="1" applyAlignment="1" applyProtection="1">
      <alignment horizontal="center" vertical="center"/>
    </xf>
    <xf numFmtId="7" fontId="25" fillId="0" borderId="6" xfId="1" applyNumberFormat="1" applyFont="1" applyFill="1" applyBorder="1" applyAlignment="1" applyProtection="1">
      <alignment horizontal="center" vertical="center"/>
    </xf>
    <xf numFmtId="0" fontId="6" fillId="4" borderId="0" xfId="0" applyFont="1" applyFill="1" applyAlignment="1">
      <alignment horizontal="center" vertical="top" wrapText="1"/>
    </xf>
    <xf numFmtId="164" fontId="25" fillId="0" borderId="13" xfId="1" applyNumberFormat="1" applyFont="1" applyFill="1" applyBorder="1" applyAlignment="1" applyProtection="1">
      <alignment horizontal="center" vertical="center"/>
    </xf>
    <xf numFmtId="0" fontId="4" fillId="0" borderId="0" xfId="0" applyFont="1" applyAlignment="1">
      <alignment vertical="top" wrapText="1"/>
    </xf>
    <xf numFmtId="0" fontId="4" fillId="4" borderId="0" xfId="0" applyFont="1" applyFill="1" applyAlignment="1">
      <alignment vertical="top" wrapText="1"/>
    </xf>
    <xf numFmtId="7" fontId="26" fillId="0" borderId="5" xfId="1" applyNumberFormat="1" applyFont="1" applyBorder="1" applyProtection="1"/>
    <xf numFmtId="0" fontId="29" fillId="0" borderId="0" xfId="2" applyFont="1" applyProtection="1"/>
    <xf numFmtId="0" fontId="16" fillId="4" borderId="0" xfId="2" applyFont="1" applyFill="1" applyAlignment="1" applyProtection="1">
      <alignment horizontal="left" wrapText="1"/>
    </xf>
    <xf numFmtId="0" fontId="17" fillId="4" borderId="0" xfId="0" applyFont="1" applyFill="1"/>
    <xf numFmtId="0" fontId="5" fillId="0" borderId="0" xfId="0" applyFont="1"/>
    <xf numFmtId="0" fontId="28" fillId="0" borderId="0" xfId="2" applyFont="1" applyFill="1" applyProtection="1"/>
    <xf numFmtId="0" fontId="17" fillId="0" borderId="0" xfId="0" applyFont="1"/>
    <xf numFmtId="0" fontId="30" fillId="0" borderId="5" xfId="9" applyFont="1" applyProtection="1"/>
    <xf numFmtId="0" fontId="31" fillId="4" borderId="0" xfId="11" applyFill="1" applyAlignment="1">
      <alignment horizontal="center" wrapText="1"/>
    </xf>
    <xf numFmtId="0" fontId="28" fillId="0" borderId="0" xfId="2" applyFont="1" applyAlignment="1" applyProtection="1">
      <alignment horizontal="left" wrapText="1"/>
    </xf>
    <xf numFmtId="0" fontId="16" fillId="0" borderId="0" xfId="2" applyFont="1" applyAlignment="1" applyProtection="1">
      <alignment horizontal="left" wrapText="1"/>
    </xf>
    <xf numFmtId="0" fontId="23" fillId="4" borderId="7" xfId="3" applyFill="1" applyAlignment="1" applyProtection="1">
      <alignment horizontal="center" wrapText="1"/>
    </xf>
    <xf numFmtId="0" fontId="20" fillId="8" borderId="0" xfId="5" applyFont="1" applyFill="1" applyBorder="1" applyAlignment="1" applyProtection="1">
      <alignment horizontal="center" wrapText="1"/>
    </xf>
    <xf numFmtId="0" fontId="21" fillId="4" borderId="11" xfId="3" applyFont="1" applyFill="1" applyBorder="1" applyAlignment="1" applyProtection="1">
      <alignment horizontal="center" vertical="center" wrapText="1"/>
    </xf>
    <xf numFmtId="0" fontId="21" fillId="4" borderId="0" xfId="3" applyFont="1" applyFill="1" applyBorder="1" applyAlignment="1" applyProtection="1">
      <alignment horizontal="center" vertical="center" wrapText="1"/>
    </xf>
    <xf numFmtId="0" fontId="21" fillId="4" borderId="12" xfId="3" applyFont="1" applyFill="1" applyBorder="1" applyAlignment="1" applyProtection="1">
      <alignment horizontal="center" vertical="center" wrapText="1"/>
    </xf>
    <xf numFmtId="0" fontId="22" fillId="4" borderId="0" xfId="5" applyFill="1" applyBorder="1" applyProtection="1"/>
    <xf numFmtId="0" fontId="22" fillId="0" borderId="0" xfId="5" applyBorder="1" applyProtection="1"/>
    <xf numFmtId="7" fontId="25" fillId="10" borderId="17" xfId="1" applyNumberFormat="1" applyFont="1" applyFill="1" applyBorder="1" applyAlignment="1" applyProtection="1">
      <alignment horizontal="center" vertical="center"/>
      <protection locked="0"/>
    </xf>
    <xf numFmtId="0" fontId="25" fillId="10" borderId="18" xfId="6" applyFont="1" applyFill="1" applyBorder="1" applyAlignment="1" applyProtection="1">
      <alignment horizontal="center" vertical="center"/>
      <protection locked="0"/>
    </xf>
    <xf numFmtId="0" fontId="25" fillId="10" borderId="19" xfId="6" applyFont="1" applyFill="1" applyBorder="1" applyAlignment="1" applyProtection="1">
      <alignment horizontal="center" vertical="center"/>
      <protection locked="0"/>
    </xf>
    <xf numFmtId="0" fontId="21" fillId="0" borderId="11" xfId="4" applyFont="1" applyBorder="1" applyAlignment="1" applyProtection="1">
      <alignment horizontal="center" vertical="center" wrapText="1"/>
    </xf>
    <xf numFmtId="0" fontId="21" fillId="0" borderId="0" xfId="4" applyFont="1" applyBorder="1" applyAlignment="1" applyProtection="1">
      <alignment horizontal="center" vertical="center" wrapText="1"/>
    </xf>
    <xf numFmtId="0" fontId="21" fillId="0" borderId="11" xfId="4" applyFont="1" applyFill="1" applyBorder="1" applyAlignment="1" applyProtection="1">
      <alignment horizontal="center" vertical="center" wrapText="1"/>
    </xf>
    <xf numFmtId="0" fontId="21" fillId="0" borderId="0" xfId="4" applyFont="1" applyFill="1" applyBorder="1" applyAlignment="1" applyProtection="1">
      <alignment horizontal="center" vertical="center" wrapText="1"/>
    </xf>
    <xf numFmtId="7" fontId="25" fillId="10" borderId="18" xfId="1" applyNumberFormat="1" applyFont="1" applyFill="1" applyBorder="1" applyAlignment="1" applyProtection="1">
      <alignment horizontal="center" vertical="center"/>
      <protection locked="0"/>
    </xf>
    <xf numFmtId="0" fontId="32" fillId="0" borderId="0" xfId="0" applyFont="1"/>
    <xf numFmtId="7" fontId="1" fillId="0" borderId="0" xfId="0" applyNumberFormat="1" applyFont="1"/>
    <xf numFmtId="7" fontId="0" fillId="11" borderId="0" xfId="0" applyNumberFormat="1" applyFill="1" applyAlignment="1">
      <alignment horizontal="right"/>
    </xf>
    <xf numFmtId="7" fontId="0" fillId="11" borderId="0" xfId="0" applyNumberFormat="1" applyFill="1"/>
    <xf numFmtId="166" fontId="0" fillId="11" borderId="0" xfId="10" applyNumberFormat="1" applyFont="1" applyFill="1"/>
    <xf numFmtId="0" fontId="28" fillId="0" borderId="0" xfId="2" applyFont="1" applyAlignment="1" applyProtection="1">
      <alignment wrapText="1"/>
    </xf>
    <xf numFmtId="0" fontId="28" fillId="0" borderId="0" xfId="2" applyFont="1" applyAlignment="1" applyProtection="1"/>
    <xf numFmtId="0" fontId="16" fillId="0" borderId="0" xfId="2" applyFont="1" applyAlignment="1" applyProtection="1"/>
    <xf numFmtId="0" fontId="28" fillId="0" borderId="0" xfId="2" applyFont="1" applyFill="1" applyAlignment="1" applyProtection="1">
      <alignment wrapText="1"/>
    </xf>
    <xf numFmtId="0" fontId="28" fillId="0" borderId="0" xfId="2" applyFont="1" applyFill="1" applyAlignment="1" applyProtection="1"/>
    <xf numFmtId="166" fontId="0" fillId="0" borderId="0" xfId="10" applyNumberFormat="1" applyFont="1" applyFill="1"/>
    <xf numFmtId="165" fontId="0" fillId="11" borderId="0" xfId="10" applyNumberFormat="1" applyFont="1" applyFill="1"/>
    <xf numFmtId="10" fontId="0" fillId="11" borderId="0" xfId="10" applyNumberFormat="1" applyFont="1" applyFill="1"/>
    <xf numFmtId="0" fontId="21" fillId="0" borderId="8" xfId="4" quotePrefix="1" applyFont="1" applyBorder="1" applyAlignment="1" applyProtection="1">
      <alignment horizontal="center" wrapText="1"/>
    </xf>
    <xf numFmtId="167" fontId="0" fillId="11" borderId="0" xfId="10" applyNumberFormat="1" applyFont="1" applyFill="1"/>
    <xf numFmtId="167" fontId="0" fillId="0" borderId="0" xfId="0" applyNumberFormat="1"/>
    <xf numFmtId="167" fontId="21" fillId="0" borderId="9" xfId="4" applyNumberFormat="1" applyFont="1" applyBorder="1" applyAlignment="1" applyProtection="1">
      <alignment horizontal="center" wrapText="1"/>
    </xf>
    <xf numFmtId="0" fontId="34" fillId="0" borderId="0" xfId="0" applyFont="1"/>
    <xf numFmtId="0" fontId="0" fillId="0" borderId="0" xfId="0" applyAlignment="1">
      <alignment horizontal="right"/>
    </xf>
    <xf numFmtId="0" fontId="1" fillId="12" borderId="0" xfId="0" applyFont="1" applyFill="1"/>
    <xf numFmtId="7" fontId="0" fillId="12" borderId="0" xfId="0" applyNumberFormat="1" applyFill="1"/>
    <xf numFmtId="0" fontId="1" fillId="5" borderId="0" xfId="0" applyFont="1" applyFill="1"/>
    <xf numFmtId="7" fontId="0" fillId="5" borderId="0" xfId="0" applyNumberFormat="1" applyFill="1"/>
    <xf numFmtId="0" fontId="0" fillId="5" borderId="0" xfId="0" applyFill="1"/>
    <xf numFmtId="0" fontId="0" fillId="5" borderId="0" xfId="0" applyFill="1" applyAlignment="1">
      <alignment horizontal="left" indent="1"/>
    </xf>
    <xf numFmtId="0" fontId="1" fillId="5" borderId="0" xfId="0" applyFont="1" applyFill="1" applyAlignment="1">
      <alignment horizontal="left" indent="1"/>
    </xf>
    <xf numFmtId="0" fontId="34" fillId="13" borderId="0" xfId="0" applyFont="1" applyFill="1"/>
    <xf numFmtId="7" fontId="34" fillId="13" borderId="0" xfId="0" applyNumberFormat="1" applyFont="1" applyFill="1"/>
    <xf numFmtId="166" fontId="0" fillId="0" borderId="0" xfId="10" applyNumberFormat="1" applyFont="1"/>
    <xf numFmtId="7" fontId="32" fillId="0" borderId="0" xfId="0" applyNumberFormat="1" applyFont="1"/>
    <xf numFmtId="0" fontId="34" fillId="14" borderId="0" xfId="0" applyFont="1" applyFill="1"/>
    <xf numFmtId="7" fontId="0" fillId="14" borderId="20" xfId="0" applyNumberFormat="1" applyFill="1" applyBorder="1"/>
    <xf numFmtId="0" fontId="34" fillId="15" borderId="0" xfId="0" applyFont="1" applyFill="1"/>
    <xf numFmtId="7" fontId="0" fillId="15" borderId="0" xfId="0" applyNumberFormat="1" applyFill="1"/>
    <xf numFmtId="165" fontId="1" fillId="0" borderId="0" xfId="10" applyNumberFormat="1" applyFont="1" applyFill="1"/>
    <xf numFmtId="49" fontId="38" fillId="0" borderId="0" xfId="0" applyNumberFormat="1" applyFont="1" applyAlignment="1">
      <alignment horizontal="left"/>
    </xf>
    <xf numFmtId="0" fontId="20" fillId="6" borderId="0" xfId="8" applyFont="1" applyFill="1" applyAlignment="1" applyProtection="1">
      <alignment horizontal="left" vertical="center" wrapText="1" indent="3"/>
    </xf>
    <xf numFmtId="0" fontId="20" fillId="9" borderId="8" xfId="3" applyFont="1" applyFill="1" applyBorder="1" applyAlignment="1" applyProtection="1">
      <alignment horizontal="center" vertical="center" wrapText="1"/>
    </xf>
    <xf numFmtId="0" fontId="20" fillId="9" borderId="9" xfId="3" applyFont="1" applyFill="1" applyBorder="1" applyAlignment="1" applyProtection="1">
      <alignment horizontal="center" vertical="center" wrapText="1"/>
    </xf>
    <xf numFmtId="0" fontId="20" fillId="9" borderId="10" xfId="3" applyFont="1" applyFill="1" applyBorder="1" applyAlignment="1" applyProtection="1">
      <alignment horizontal="center" vertical="center" wrapText="1"/>
    </xf>
    <xf numFmtId="0" fontId="19" fillId="6" borderId="0" xfId="8" applyFont="1" applyFill="1" applyAlignment="1" applyProtection="1">
      <alignment horizontal="center" vertical="center"/>
    </xf>
    <xf numFmtId="0" fontId="27" fillId="8" borderId="12" xfId="0" applyFont="1" applyFill="1" applyBorder="1" applyAlignment="1">
      <alignment horizontal="center" vertical="top" wrapText="1"/>
    </xf>
    <xf numFmtId="0" fontId="27" fillId="8" borderId="14" xfId="0" applyFont="1" applyFill="1" applyBorder="1" applyAlignment="1">
      <alignment horizontal="center" vertical="top" wrapText="1"/>
    </xf>
    <xf numFmtId="0" fontId="23" fillId="4" borderId="7" xfId="3" applyFill="1" applyAlignment="1" applyProtection="1">
      <alignment horizontal="center" wrapText="1"/>
    </xf>
    <xf numFmtId="0" fontId="23" fillId="4" borderId="16" xfId="3" applyFill="1" applyBorder="1" applyAlignment="1" applyProtection="1">
      <alignment horizontal="center" wrapText="1"/>
    </xf>
    <xf numFmtId="7" fontId="24" fillId="0" borderId="6" xfId="1" applyNumberFormat="1" applyFont="1" applyFill="1" applyBorder="1" applyAlignment="1" applyProtection="1">
      <alignment horizontal="center" vertical="center"/>
    </xf>
    <xf numFmtId="7" fontId="24" fillId="0" borderId="14" xfId="1" applyNumberFormat="1" applyFont="1" applyFill="1" applyBorder="1" applyAlignment="1" applyProtection="1">
      <alignment horizontal="center" vertical="center"/>
    </xf>
    <xf numFmtId="0" fontId="19" fillId="6" borderId="0" xfId="8" applyFont="1" applyFill="1" applyAlignment="1" applyProtection="1">
      <alignment horizontal="left" vertical="center" wrapText="1" indent="2"/>
    </xf>
    <xf numFmtId="0" fontId="20" fillId="7" borderId="0" xfId="3" applyFont="1" applyFill="1" applyBorder="1" applyAlignment="1" applyProtection="1">
      <alignment horizontal="left" vertical="center" wrapText="1" indent="3"/>
    </xf>
    <xf numFmtId="0" fontId="20" fillId="8" borderId="17" xfId="3" applyFont="1" applyFill="1" applyBorder="1" applyAlignment="1" applyProtection="1">
      <alignment horizontal="center" vertical="center" wrapText="1"/>
    </xf>
    <xf numFmtId="0" fontId="20" fillId="8" borderId="18" xfId="3" applyFont="1" applyFill="1" applyBorder="1" applyAlignment="1" applyProtection="1">
      <alignment horizontal="center" vertical="center" wrapText="1"/>
    </xf>
    <xf numFmtId="0" fontId="20" fillId="8" borderId="19" xfId="3" applyFont="1" applyFill="1" applyBorder="1" applyAlignment="1" applyProtection="1">
      <alignment horizontal="center" vertical="center" wrapText="1"/>
    </xf>
  </cellXfs>
  <cellStyles count="13">
    <cellStyle name="Currency" xfId="1" builtinId="4"/>
    <cellStyle name="Explanatory Text" xfId="2" builtinId="53"/>
    <cellStyle name="Heading 1" xfId="3" builtinId="16" customBuiltin="1"/>
    <cellStyle name="Heading 3" xfId="4" builtinId="18"/>
    <cellStyle name="Heading 4" xfId="5" builtinId="19" customBuiltin="1"/>
    <cellStyle name="Hyperlink" xfId="11" builtinId="8"/>
    <cellStyle name="Input" xfId="6" builtinId="20" customBuiltin="1"/>
    <cellStyle name="Normal" xfId="0" builtinId="0"/>
    <cellStyle name="Output" xfId="7" builtinId="21"/>
    <cellStyle name="Percent" xfId="10" builtinId="5"/>
    <cellStyle name="Style 1" xfId="12" xr:uid="{C8B10086-36B7-4AC2-A67D-388BD638811D}"/>
    <cellStyle name="Title" xfId="8" builtinId="15"/>
    <cellStyle name="Total" xfId="9" builtinId="25"/>
  </cellStyles>
  <dxfs count="0"/>
  <tableStyles count="0" defaultTableStyle="TableStyleMedium2" defaultPivotStyle="PivotStyleLight16"/>
  <colors>
    <mruColors>
      <color rgb="FF006394"/>
      <color rgb="FFDD6726"/>
      <color rgb="FF0091BA"/>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Segoe UI" panose="020B0502040204020203" pitchFamily="34" charset="0"/>
                <a:cs typeface="Segoe UI" panose="020B0502040204020203" pitchFamily="34" charset="0"/>
              </a:defRPr>
            </a:pPr>
            <a:r>
              <a:rPr lang="en-US" sz="1600" b="1">
                <a:latin typeface="Segoe UI" panose="020B0502040204020203" pitchFamily="34" charset="0"/>
                <a:cs typeface="Segoe UI" panose="020B0502040204020203" pitchFamily="34" charset="0"/>
              </a:rPr>
              <a:t>State Investment in Your Salary &amp; Benefits</a:t>
            </a:r>
          </a:p>
        </c:rich>
      </c:tx>
      <c:layout>
        <c:manualLayout>
          <c:xMode val="edge"/>
          <c:yMode val="edge"/>
          <c:x val="0.1590885652567765"/>
          <c:y val="2.9410679910057108E-2"/>
        </c:manualLayout>
      </c:layout>
      <c:overlay val="0"/>
    </c:title>
    <c:autoTitleDeleted val="0"/>
    <c:plotArea>
      <c:layout>
        <c:manualLayout>
          <c:layoutTarget val="inner"/>
          <c:xMode val="edge"/>
          <c:yMode val="edge"/>
          <c:x val="0.1864826492927322"/>
          <c:y val="0.13193195126327292"/>
          <c:w val="0.65503571179708731"/>
          <c:h val="0.47320852593281493"/>
        </c:manualLayout>
      </c:layout>
      <c:pieChart>
        <c:varyColors val="1"/>
        <c:ser>
          <c:idx val="0"/>
          <c:order val="0"/>
          <c:spPr>
            <a:solidFill>
              <a:srgbClr val="006394"/>
            </a:solidFill>
            <a:ln w="12700">
              <a:noFill/>
              <a:prstDash val="solid"/>
            </a:ln>
          </c:spPr>
          <c:dPt>
            <c:idx val="0"/>
            <c:bubble3D val="0"/>
            <c:spPr>
              <a:solidFill>
                <a:srgbClr val="0091BA"/>
              </a:solidFill>
              <a:ln w="12700">
                <a:noFill/>
                <a:prstDash val="solid"/>
              </a:ln>
            </c:spPr>
            <c:extLst>
              <c:ext xmlns:c16="http://schemas.microsoft.com/office/drawing/2014/chart" uri="{C3380CC4-5D6E-409C-BE32-E72D297353CC}">
                <c16:uniqueId val="{00000001-E4A7-4B2B-AB0E-420C77CFED28}"/>
              </c:ext>
            </c:extLst>
          </c:dPt>
          <c:dPt>
            <c:idx val="1"/>
            <c:bubble3D val="0"/>
            <c:extLst>
              <c:ext xmlns:c16="http://schemas.microsoft.com/office/drawing/2014/chart" uri="{C3380CC4-5D6E-409C-BE32-E72D297353CC}">
                <c16:uniqueId val="{00000003-E4A7-4B2B-AB0E-420C77CFED28}"/>
              </c:ext>
            </c:extLst>
          </c:dPt>
          <c:dPt>
            <c:idx val="2"/>
            <c:bubble3D val="0"/>
            <c:spPr>
              <a:solidFill>
                <a:schemeClr val="accent5">
                  <a:lumMod val="50000"/>
                </a:schemeClr>
              </a:solidFill>
              <a:ln w="12700">
                <a:noFill/>
                <a:prstDash val="solid"/>
              </a:ln>
            </c:spPr>
            <c:extLst>
              <c:ext xmlns:c16="http://schemas.microsoft.com/office/drawing/2014/chart" uri="{C3380CC4-5D6E-409C-BE32-E72D297353CC}">
                <c16:uniqueId val="{00000005-E4A7-4B2B-AB0E-420C77CFED28}"/>
              </c:ext>
            </c:extLst>
          </c:dPt>
          <c:dPt>
            <c:idx val="3"/>
            <c:bubble3D val="0"/>
            <c:spPr>
              <a:solidFill>
                <a:srgbClr val="DD6726"/>
              </a:solidFill>
              <a:ln w="12700">
                <a:noFill/>
                <a:prstDash val="solid"/>
              </a:ln>
            </c:spPr>
            <c:extLst>
              <c:ext xmlns:c16="http://schemas.microsoft.com/office/drawing/2014/chart" uri="{C3380CC4-5D6E-409C-BE32-E72D297353CC}">
                <c16:uniqueId val="{00000007-E4A7-4B2B-AB0E-420C77CFED28}"/>
              </c:ext>
            </c:extLst>
          </c:dPt>
          <c:dPt>
            <c:idx val="4"/>
            <c:bubble3D val="0"/>
            <c:spPr>
              <a:solidFill>
                <a:schemeClr val="accent2">
                  <a:lumMod val="50000"/>
                </a:schemeClr>
              </a:solidFill>
              <a:ln w="12700">
                <a:noFill/>
                <a:prstDash val="solid"/>
              </a:ln>
            </c:spPr>
            <c:extLst>
              <c:ext xmlns:c16="http://schemas.microsoft.com/office/drawing/2014/chart" uri="{C3380CC4-5D6E-409C-BE32-E72D297353CC}">
                <c16:uniqueId val="{00000009-E4A7-4B2B-AB0E-420C77CFED28}"/>
              </c:ext>
            </c:extLst>
          </c:dPt>
          <c:dPt>
            <c:idx val="5"/>
            <c:bubble3D val="0"/>
            <c:spPr>
              <a:solidFill>
                <a:schemeClr val="accent2">
                  <a:lumMod val="40000"/>
                  <a:lumOff val="60000"/>
                </a:schemeClr>
              </a:solidFill>
              <a:ln w="12700">
                <a:noFill/>
                <a:prstDash val="solid"/>
              </a:ln>
            </c:spPr>
            <c:extLst>
              <c:ext xmlns:c16="http://schemas.microsoft.com/office/drawing/2014/chart" uri="{C3380CC4-5D6E-409C-BE32-E72D297353CC}">
                <c16:uniqueId val="{0000000B-E4A7-4B2B-AB0E-420C77CFED28}"/>
              </c:ext>
            </c:extLst>
          </c:dPt>
          <c:dLbls>
            <c:dLbl>
              <c:idx val="6"/>
              <c:layout>
                <c:manualLayout>
                  <c:x val="8.185840707964602E-2"/>
                  <c:y val="3.314358413935963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054-4D64-BEB2-86A26BF3BC91}"/>
                </c:ext>
              </c:extLst>
            </c:dLbl>
            <c:spPr>
              <a:noFill/>
              <a:ln>
                <a:noFill/>
              </a:ln>
              <a:effectLst/>
            </c:spPr>
            <c:txPr>
              <a:bodyPr tIns="91440" bIns="91440"/>
              <a:lstStyle/>
              <a:p>
                <a:pPr>
                  <a:defRPr sz="1400" b="1">
                    <a:latin typeface="Segoe UI" panose="020B0502040204020203" pitchFamily="34" charset="0"/>
                    <a:cs typeface="Segoe UI" panose="020B0502040204020203" pitchFamily="34" charset="0"/>
                  </a:defRPr>
                </a:pPr>
                <a:endParaRPr lang="en-US"/>
              </a:p>
            </c:txPr>
            <c:dLblPos val="outEnd"/>
            <c:showLegendKey val="0"/>
            <c:showVal val="0"/>
            <c:showCatName val="0"/>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'Contribution Data'!$A$2:$A$8</c:f>
              <c:strCache>
                <c:ptCount val="7"/>
                <c:pt idx="0">
                  <c:v>Salary</c:v>
                </c:pt>
                <c:pt idx="1">
                  <c:v>Medical Insurance</c:v>
                </c:pt>
                <c:pt idx="2">
                  <c:v>Pension*</c:v>
                </c:pt>
                <c:pt idx="3">
                  <c:v>Social Security**</c:v>
                </c:pt>
                <c:pt idx="4">
                  <c:v>Retiree Medical Insurance</c:v>
                </c:pt>
                <c:pt idx="5">
                  <c:v>MO Deferred Compensation Match***</c:v>
                </c:pt>
                <c:pt idx="6">
                  <c:v>Other (LTD, Basic Life, Retiree Basic Life, Medicare)</c:v>
                </c:pt>
              </c:strCache>
            </c:strRef>
          </c:cat>
          <c:val>
            <c:numRef>
              <c:f>'Contribution Data'!$B$2:$B$8</c:f>
              <c:numCache>
                <c:formatCode>"$"#,##0.00_);\("$"#,##0.00\)</c:formatCode>
                <c:ptCount val="7"/>
                <c:pt idx="0">
                  <c:v>1500</c:v>
                </c:pt>
                <c:pt idx="1">
                  <c:v>549</c:v>
                </c:pt>
                <c:pt idx="2">
                  <c:v>431.24999999999994</c:v>
                </c:pt>
                <c:pt idx="3">
                  <c:v>93</c:v>
                </c:pt>
                <c:pt idx="4">
                  <c:v>53.249999999999993</c:v>
                </c:pt>
                <c:pt idx="5">
                  <c:v>37.5</c:v>
                </c:pt>
                <c:pt idx="6">
                  <c:v>33.704999999999998</c:v>
                </c:pt>
              </c:numCache>
            </c:numRef>
          </c:val>
          <c:extLst>
            <c:ext xmlns:c16="http://schemas.microsoft.com/office/drawing/2014/chart" uri="{C3380CC4-5D6E-409C-BE32-E72D297353CC}">
              <c16:uniqueId val="{0000000C-E4A7-4B2B-AB0E-420C77CFED28}"/>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600">
                <a:latin typeface="Segoe UI" panose="020B0502040204020203" pitchFamily="34" charset="0"/>
                <a:cs typeface="Segoe UI" panose="020B0502040204020203" pitchFamily="34" charset="0"/>
              </a:defRPr>
            </a:pPr>
            <a:endParaRPr lang="en-US"/>
          </a:p>
        </c:txPr>
      </c:legendEntry>
      <c:legendEntry>
        <c:idx val="1"/>
        <c:txPr>
          <a:bodyPr/>
          <a:lstStyle/>
          <a:p>
            <a:pPr>
              <a:defRPr sz="1600">
                <a:latin typeface="Segoe UI" panose="020B0502040204020203" pitchFamily="34" charset="0"/>
                <a:cs typeface="Segoe UI" panose="020B0502040204020203" pitchFamily="34" charset="0"/>
              </a:defRPr>
            </a:pPr>
            <a:endParaRPr lang="en-US"/>
          </a:p>
        </c:txPr>
      </c:legendEntry>
      <c:legendEntry>
        <c:idx val="2"/>
        <c:txPr>
          <a:bodyPr/>
          <a:lstStyle/>
          <a:p>
            <a:pPr>
              <a:defRPr sz="1600">
                <a:latin typeface="Segoe UI" panose="020B0502040204020203" pitchFamily="34" charset="0"/>
                <a:cs typeface="Segoe UI" panose="020B0502040204020203" pitchFamily="34" charset="0"/>
              </a:defRPr>
            </a:pPr>
            <a:endParaRPr lang="en-US"/>
          </a:p>
        </c:txPr>
      </c:legendEntry>
      <c:legendEntry>
        <c:idx val="3"/>
        <c:txPr>
          <a:bodyPr/>
          <a:lstStyle/>
          <a:p>
            <a:pPr>
              <a:defRPr sz="1600">
                <a:latin typeface="Segoe UI" panose="020B0502040204020203" pitchFamily="34" charset="0"/>
                <a:cs typeface="Segoe UI" panose="020B0502040204020203" pitchFamily="34" charset="0"/>
              </a:defRPr>
            </a:pPr>
            <a:endParaRPr lang="en-US"/>
          </a:p>
        </c:txPr>
      </c:legendEntry>
      <c:legendEntry>
        <c:idx val="4"/>
        <c:txPr>
          <a:bodyPr/>
          <a:lstStyle/>
          <a:p>
            <a:pPr>
              <a:defRPr sz="1600">
                <a:latin typeface="Segoe UI" panose="020B0502040204020203" pitchFamily="34" charset="0"/>
                <a:cs typeface="Segoe UI" panose="020B0502040204020203" pitchFamily="34" charset="0"/>
              </a:defRPr>
            </a:pPr>
            <a:endParaRPr lang="en-US"/>
          </a:p>
        </c:txPr>
      </c:legendEntry>
      <c:legendEntry>
        <c:idx val="5"/>
        <c:txPr>
          <a:bodyPr/>
          <a:lstStyle/>
          <a:p>
            <a:pPr>
              <a:defRPr sz="1600">
                <a:latin typeface="Segoe UI" panose="020B0502040204020203" pitchFamily="34" charset="0"/>
                <a:cs typeface="Segoe UI" panose="020B0502040204020203" pitchFamily="34" charset="0"/>
              </a:defRPr>
            </a:pPr>
            <a:endParaRPr lang="en-US"/>
          </a:p>
        </c:txPr>
      </c:legendEntry>
      <c:layout>
        <c:manualLayout>
          <c:xMode val="edge"/>
          <c:yMode val="edge"/>
          <c:x val="6.889241167862865E-3"/>
          <c:y val="0.64084907599210561"/>
          <c:w val="0.99270120549090657"/>
          <c:h val="0.31339032558069302"/>
        </c:manualLayout>
      </c:layout>
      <c:overlay val="1"/>
      <c:txPr>
        <a:bodyPr/>
        <a:lstStyle/>
        <a:p>
          <a:pPr>
            <a:defRPr sz="1600">
              <a:latin typeface="Segoe UI" panose="020B0502040204020203" pitchFamily="34" charset="0"/>
              <a:cs typeface="Segoe UI" panose="020B0502040204020203" pitchFamily="34" charset="0"/>
            </a:defRPr>
          </a:pPr>
          <a:endParaRPr lang="en-US"/>
        </a:p>
      </c:txPr>
    </c:legend>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mosers.org/docs/default-source/benefits/pension/benefit-providers.pdf" TargetMode="External"/><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177801</xdr:colOff>
      <xdr:row>8</xdr:row>
      <xdr:rowOff>235775</xdr:rowOff>
    </xdr:from>
    <xdr:to>
      <xdr:col>10</xdr:col>
      <xdr:colOff>1270001</xdr:colOff>
      <xdr:row>28</xdr:row>
      <xdr:rowOff>50800</xdr:rowOff>
    </xdr:to>
    <xdr:graphicFrame macro="">
      <xdr:nvGraphicFramePr>
        <xdr:cNvPr id="1541" name="Chart 4">
          <a:extLst>
            <a:ext uri="{FF2B5EF4-FFF2-40B4-BE49-F238E27FC236}">
              <a16:creationId xmlns:a16="http://schemas.microsoft.com/office/drawing/2014/main" id="{00000000-0008-0000-0000-00000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381000</xdr:colOff>
      <xdr:row>0</xdr:row>
      <xdr:rowOff>330200</xdr:rowOff>
    </xdr:from>
    <xdr:to>
      <xdr:col>3</xdr:col>
      <xdr:colOff>63918</xdr:colOff>
      <xdr:row>0</xdr:row>
      <xdr:rowOff>1376241</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0920" y="330200"/>
          <a:ext cx="3966469" cy="1046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11906</xdr:colOff>
      <xdr:row>8</xdr:row>
      <xdr:rowOff>111795</xdr:rowOff>
    </xdr:from>
    <xdr:to>
      <xdr:col>5</xdr:col>
      <xdr:colOff>2015404</xdr:colOff>
      <xdr:row>15</xdr:row>
      <xdr:rowOff>247866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869906" y="6136358"/>
          <a:ext cx="3348904" cy="4458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600" b="1">
            <a:solidFill>
              <a:schemeClr val="bg1"/>
            </a:solidFill>
            <a:latin typeface="Segoe UI" panose="020B0502040204020203" pitchFamily="34" charset="0"/>
            <a:cs typeface="Segoe UI" panose="020B0502040204020203" pitchFamily="34" charset="0"/>
          </a:endParaRPr>
        </a:p>
        <a:p>
          <a:pPr algn="ctr"/>
          <a:r>
            <a:rPr lang="en-US" sz="1600" b="1">
              <a:solidFill>
                <a:schemeClr val="bg1"/>
              </a:solidFill>
              <a:latin typeface="Segoe UI" panose="020B0502040204020203" pitchFamily="34" charset="0"/>
              <a:cs typeface="Segoe UI" panose="020B0502040204020203" pitchFamily="34" charset="0"/>
            </a:rPr>
            <a:t>Other Benefits</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Dental &amp; Vision Insurance</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Employee Assistance Program</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Cafeteria Plan</a:t>
          </a:r>
        </a:p>
        <a:p>
          <a:pPr algn="ctr"/>
          <a:endParaRPr lang="en-US" sz="1400" b="1">
            <a:solidFill>
              <a:schemeClr val="bg1"/>
            </a:solidFill>
            <a:latin typeface="Segoe UI" panose="020B0502040204020203" pitchFamily="34" charset="0"/>
            <a:cs typeface="Segoe UI" panose="020B0502040204020203" pitchFamily="34" charset="0"/>
          </a:endParaRPr>
        </a:p>
        <a:p>
          <a:pPr algn="ctr"/>
          <a:endParaRPr lang="en-US" sz="1400" b="1">
            <a:solidFill>
              <a:schemeClr val="bg1"/>
            </a:solidFill>
            <a:latin typeface="Segoe UI" panose="020B0502040204020203" pitchFamily="34" charset="0"/>
            <a:cs typeface="Segoe UI" panose="020B0502040204020203" pitchFamily="34" charset="0"/>
          </a:endParaRPr>
        </a:p>
        <a:p>
          <a:pPr algn="ctr"/>
          <a:r>
            <a:rPr lang="en-US" sz="1400" b="1">
              <a:solidFill>
                <a:schemeClr val="bg1"/>
              </a:solidFill>
              <a:latin typeface="Segoe UI" panose="020B0502040204020203" pitchFamily="34" charset="0"/>
              <a:cs typeface="Segoe UI" panose="020B0502040204020203" pitchFamily="34" charset="0"/>
            </a:rPr>
            <a:t>Universal Life Insurance</a:t>
          </a:r>
        </a:p>
      </xdr:txBody>
    </xdr:sp>
    <xdr:clientData/>
  </xdr:twoCellAnchor>
  <xdr:twoCellAnchor>
    <xdr:from>
      <xdr:col>6</xdr:col>
      <xdr:colOff>177800</xdr:colOff>
      <xdr:row>28</xdr:row>
      <xdr:rowOff>45720</xdr:rowOff>
    </xdr:from>
    <xdr:to>
      <xdr:col>10</xdr:col>
      <xdr:colOff>1206500</xdr:colOff>
      <xdr:row>31</xdr:row>
      <xdr:rowOff>152400</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000-000003000000}"/>
            </a:ext>
          </a:extLst>
        </xdr:cNvPr>
        <xdr:cNvSpPr txBox="1"/>
      </xdr:nvSpPr>
      <xdr:spPr>
        <a:xfrm>
          <a:off x="10223500" y="13368020"/>
          <a:ext cx="5676900" cy="1046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i="1">
              <a:solidFill>
                <a:schemeClr val="dk1"/>
              </a:solidFill>
              <a:effectLst/>
              <a:latin typeface="+mn-lt"/>
              <a:ea typeface="+mn-ea"/>
              <a:cs typeface="+mn-cs"/>
            </a:rPr>
            <a:t>This calculator is primarily geared toward active state employees who are paid twice per</a:t>
          </a:r>
          <a:r>
            <a:rPr lang="en-US" sz="1200" i="1" baseline="0">
              <a:solidFill>
                <a:schemeClr val="dk1"/>
              </a:solidFill>
              <a:effectLst/>
              <a:latin typeface="+mn-lt"/>
              <a:ea typeface="+mn-ea"/>
              <a:cs typeface="+mn-cs"/>
            </a:rPr>
            <a:t> </a:t>
          </a:r>
          <a:r>
            <a:rPr lang="en-US" sz="1200" i="1">
              <a:solidFill>
                <a:schemeClr val="dk1"/>
              </a:solidFill>
              <a:effectLst/>
              <a:latin typeface="+mn-lt"/>
              <a:ea typeface="+mn-ea"/>
              <a:cs typeface="+mn-cs"/>
            </a:rPr>
            <a:t>month and receive retirement, life insurance, and long-term disability benefits through MOSERS. See the table of </a:t>
          </a:r>
          <a:r>
            <a:rPr lang="en-US" sz="1200" i="1" u="sng">
              <a:solidFill>
                <a:srgbClr val="006394"/>
              </a:solidFill>
              <a:effectLst/>
              <a:latin typeface="+mn-lt"/>
              <a:ea typeface="+mn-ea"/>
              <a:cs typeface="+mn-cs"/>
            </a:rPr>
            <a:t>Benefit Providers</a:t>
          </a:r>
          <a:r>
            <a:rPr lang="en-US" sz="1200" i="0" u="none">
              <a:solidFill>
                <a:srgbClr val="006394"/>
              </a:solidFill>
              <a:effectLst/>
              <a:latin typeface="+mn-lt"/>
              <a:ea typeface="+mn-ea"/>
              <a:cs typeface="+mn-cs"/>
            </a:rPr>
            <a:t> </a:t>
          </a:r>
          <a:r>
            <a:rPr lang="en-US" sz="1200" i="1">
              <a:solidFill>
                <a:schemeClr val="dk1"/>
              </a:solidFill>
              <a:effectLst/>
              <a:latin typeface="+mn-lt"/>
              <a:ea typeface="+mn-ea"/>
              <a:cs typeface="+mn-cs"/>
            </a:rPr>
            <a:t>to determine who administers your benefits. </a:t>
          </a:r>
          <a:endParaRPr lang="en-US" sz="12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52"/>
  <sheetViews>
    <sheetView showGridLines="0" tabSelected="1" zoomScale="75" zoomScaleNormal="75" zoomScaleSheetLayoutView="70" zoomScalePageLayoutView="50" workbookViewId="0">
      <selection activeCell="B8" sqref="B8"/>
    </sheetView>
  </sheetViews>
  <sheetFormatPr defaultRowHeight="12.75" x14ac:dyDescent="0.2"/>
  <cols>
    <col min="1" max="1" width="9.140625" style="15"/>
    <col min="2" max="2" width="35" customWidth="1"/>
    <col min="3" max="3" width="28.140625" customWidth="1"/>
    <col min="4" max="4" width="30.5703125" customWidth="1"/>
    <col min="5" max="6" width="23.7109375" customWidth="1"/>
    <col min="7" max="7" width="3.7109375" customWidth="1"/>
    <col min="8" max="8" width="22" customWidth="1"/>
    <col min="9" max="9" width="24.5703125" customWidth="1"/>
    <col min="10" max="10" width="19.140625" customWidth="1"/>
    <col min="11" max="11" width="19.7109375" customWidth="1"/>
    <col min="12" max="12" width="26.85546875" customWidth="1"/>
    <col min="13" max="17" width="15.7109375" bestFit="1" customWidth="1"/>
  </cols>
  <sheetData>
    <row r="1" spans="1:59" s="22" customFormat="1" ht="124.5" customHeight="1" x14ac:dyDescent="0.6">
      <c r="A1" s="21"/>
      <c r="B1" s="107"/>
      <c r="C1" s="107"/>
      <c r="D1" s="107"/>
      <c r="E1" s="107"/>
      <c r="F1" s="107"/>
      <c r="G1" s="107"/>
      <c r="H1" s="107"/>
      <c r="I1" s="107"/>
      <c r="J1" s="107"/>
      <c r="K1" s="107"/>
    </row>
    <row r="2" spans="1:59" s="22" customFormat="1" ht="49.9" customHeight="1" x14ac:dyDescent="0.6">
      <c r="A2" s="21"/>
      <c r="B2" s="114" t="s">
        <v>7</v>
      </c>
      <c r="C2" s="114"/>
      <c r="D2" s="114"/>
      <c r="E2" s="114"/>
      <c r="F2" s="114"/>
      <c r="G2" s="114"/>
      <c r="H2" s="114"/>
      <c r="I2" s="114"/>
      <c r="J2" s="114"/>
      <c r="K2" s="114"/>
      <c r="M2"/>
    </row>
    <row r="3" spans="1:59" s="22" customFormat="1" ht="51.75" customHeight="1" x14ac:dyDescent="0.6">
      <c r="A3" s="21"/>
      <c r="B3" s="103" t="s">
        <v>58</v>
      </c>
      <c r="C3" s="103"/>
      <c r="D3" s="103"/>
      <c r="E3" s="103"/>
      <c r="F3" s="103"/>
      <c r="G3" s="103"/>
      <c r="H3" s="103"/>
      <c r="I3" s="103"/>
      <c r="J3" s="103"/>
      <c r="K3" s="103"/>
    </row>
    <row r="4" spans="1:59" s="23" customFormat="1" ht="26.25" customHeight="1" x14ac:dyDescent="0.2">
      <c r="A4" s="24"/>
      <c r="B4" s="115" t="s">
        <v>14</v>
      </c>
      <c r="C4" s="115"/>
      <c r="D4" s="115"/>
      <c r="E4" s="115"/>
      <c r="F4" s="115"/>
      <c r="G4" s="115"/>
      <c r="H4" s="115"/>
      <c r="I4" s="115"/>
      <c r="J4" s="115"/>
      <c r="K4" s="115"/>
    </row>
    <row r="5" spans="1:59" s="24" customFormat="1" ht="6.75" customHeight="1" x14ac:dyDescent="0.2">
      <c r="B5" s="28"/>
      <c r="C5" s="28"/>
      <c r="D5" s="28"/>
      <c r="E5" s="28"/>
      <c r="F5" s="28"/>
      <c r="G5" s="28"/>
      <c r="H5" s="28"/>
      <c r="I5" s="28"/>
      <c r="J5" s="28"/>
      <c r="K5" s="28"/>
      <c r="O5" s="23"/>
    </row>
    <row r="6" spans="1:59" s="23" customFormat="1" ht="26.25" customHeight="1" x14ac:dyDescent="0.2">
      <c r="A6" s="24"/>
      <c r="B6" s="116" t="s">
        <v>8</v>
      </c>
      <c r="C6" s="117"/>
      <c r="D6" s="117"/>
      <c r="E6" s="117"/>
      <c r="F6" s="118"/>
      <c r="G6" s="28"/>
      <c r="H6" s="104" t="s">
        <v>9</v>
      </c>
      <c r="I6" s="105"/>
      <c r="J6" s="105"/>
      <c r="K6" s="106"/>
    </row>
    <row r="7" spans="1:59" s="27" customFormat="1" ht="104.25" customHeight="1" x14ac:dyDescent="0.75">
      <c r="A7" s="25"/>
      <c r="B7" s="54" t="s">
        <v>27</v>
      </c>
      <c r="C7" s="55" t="s">
        <v>49</v>
      </c>
      <c r="D7" s="55" t="s">
        <v>18</v>
      </c>
      <c r="E7" s="55" t="s">
        <v>22</v>
      </c>
      <c r="F7" s="56" t="s">
        <v>21</v>
      </c>
      <c r="G7" s="29"/>
      <c r="H7" s="30" t="s">
        <v>23</v>
      </c>
      <c r="I7" s="52" t="s">
        <v>56</v>
      </c>
      <c r="J7" s="110" t="s">
        <v>57</v>
      </c>
      <c r="K7" s="111"/>
      <c r="L7" s="26"/>
      <c r="M7" s="23" t="s">
        <v>0</v>
      </c>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row>
    <row r="8" spans="1:59" s="5" customFormat="1" ht="41.25" customHeight="1" x14ac:dyDescent="0.25">
      <c r="A8" s="17"/>
      <c r="B8" s="59">
        <v>1500</v>
      </c>
      <c r="C8" s="60">
        <v>5</v>
      </c>
      <c r="D8" s="60" t="s">
        <v>5</v>
      </c>
      <c r="E8" s="66">
        <v>75</v>
      </c>
      <c r="F8" s="61" t="s">
        <v>4</v>
      </c>
      <c r="G8" s="19"/>
      <c r="H8" s="31">
        <f>(B8*24)/2080</f>
        <v>17.307692307692307</v>
      </c>
      <c r="I8" s="32">
        <f>(B8*24)</f>
        <v>36000</v>
      </c>
      <c r="J8" s="112">
        <f>SUM(C19*24+C20*24)</f>
        <v>64744.92</v>
      </c>
      <c r="K8" s="113"/>
      <c r="L8" s="12"/>
      <c r="M8"/>
      <c r="N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row>
    <row r="9" spans="1:59" s="6" customFormat="1" ht="75" customHeight="1" x14ac:dyDescent="0.75">
      <c r="A9" s="16"/>
      <c r="B9" s="80" t="str">
        <f>"Basic Life Insurance"&amp;CHAR(10)&amp;TEXT('Contribution Data'!C9,".000%")</f>
        <v>Basic Life Insurance
.237%</v>
      </c>
      <c r="C9" s="83" t="str">
        <f>"Retiree"&amp;CHAR(10)&amp;"Basic Life Insurance"&amp;CHAR(10)&amp;TEXT('Contribution Data'!C10,".000%")</f>
        <v>Retiree
Basic Life Insurance
.115%</v>
      </c>
      <c r="D9" s="83" t="str">
        <f>"Retiree"&amp;CHAR(10)&amp;"Medical Insurance"&amp;CHAR(10)&amp;TEXT('Contribution Data'!C6,".00%")</f>
        <v>Retiree
Medical Insurance
3.55%</v>
      </c>
      <c r="E9" s="53"/>
      <c r="F9" s="33" t="s">
        <v>10</v>
      </c>
      <c r="G9" s="34"/>
      <c r="H9" s="57"/>
      <c r="I9" s="58"/>
      <c r="J9" s="58"/>
      <c r="K9"/>
      <c r="L9"/>
      <c r="M9"/>
      <c r="N9"/>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row>
    <row r="10" spans="1:59" s="5" customFormat="1" ht="30" customHeight="1" x14ac:dyDescent="0.35">
      <c r="A10" s="17"/>
      <c r="B10" s="35">
        <f>B8*'Contribution Data'!C9</f>
        <v>3.5550000000000002</v>
      </c>
      <c r="C10" s="36">
        <f>B8*'Contribution Data'!C10</f>
        <v>1.7249999999999999</v>
      </c>
      <c r="D10" s="36">
        <f>B8*'Contribution Data'!C6</f>
        <v>53.249999999999993</v>
      </c>
      <c r="E10" s="53"/>
      <c r="F10" s="108"/>
      <c r="G10" s="37"/>
      <c r="H10" s="15"/>
      <c r="I10"/>
      <c r="J10" s="3" t="s">
        <v>0</v>
      </c>
      <c r="K10"/>
      <c r="L10" t="s">
        <v>0</v>
      </c>
      <c r="M10"/>
      <c r="N10"/>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row>
    <row r="11" spans="1:59" s="6" customFormat="1" ht="60" customHeight="1" x14ac:dyDescent="0.75">
      <c r="A11" s="16"/>
      <c r="B11" s="62" t="s">
        <v>17</v>
      </c>
      <c r="C11" s="63" t="str">
        <f>"Medicare"&amp;CHAR(10)&amp;TEXT('Contribution Data'!C11,".00%")</f>
        <v>Medicare
1.45%</v>
      </c>
      <c r="D11" s="63" t="str">
        <f>"Long-Term Disability"&amp;CHAR(10)&amp;TEXT('Contribution Data'!C12,".000%")</f>
        <v>Long-Term Disability
.445%</v>
      </c>
      <c r="E11" s="53"/>
      <c r="F11" s="108"/>
      <c r="G11" s="37"/>
      <c r="H11" s="15"/>
      <c r="I11"/>
      <c r="J11"/>
      <c r="K11"/>
      <c r="L11"/>
      <c r="M11"/>
      <c r="N11"/>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row>
    <row r="12" spans="1:59" s="5" customFormat="1" ht="30" customHeight="1" x14ac:dyDescent="0.35">
      <c r="A12" s="17"/>
      <c r="B12" s="35">
        <f>IF(F8="Y",'Contribution Data'!C3,"0")</f>
        <v>549</v>
      </c>
      <c r="C12" s="36">
        <f>B8*'Contribution Data'!C11</f>
        <v>21.75</v>
      </c>
      <c r="D12" s="36">
        <f>IF(D8="Y",0,B8*'Contribution Data'!C12)</f>
        <v>6.6749999999999998</v>
      </c>
      <c r="E12" s="53"/>
      <c r="F12" s="108"/>
      <c r="G12" s="37"/>
      <c r="H12" s="15"/>
      <c r="I12" s="3" t="s">
        <v>3</v>
      </c>
      <c r="J12"/>
      <c r="K12"/>
      <c r="L12"/>
      <c r="M12"/>
      <c r="N12"/>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row>
    <row r="13" spans="1:59" s="6" customFormat="1" ht="60" customHeight="1" x14ac:dyDescent="0.75">
      <c r="A13" s="16"/>
      <c r="B13" s="64" t="str">
        <f>"Pension*"&amp;CHAR(10)&amp;TEXT('Contribution Data'!C4,".00%")</f>
        <v>Pension*
28.75%</v>
      </c>
      <c r="C13" s="65" t="str">
        <f>"Social Security**"&amp;CHAR(10)&amp;TEXT('Contribution Data'!C5,".0%")</f>
        <v>Social Security**
6.2%</v>
      </c>
      <c r="D13" s="65" t="s">
        <v>67</v>
      </c>
      <c r="E13" s="53"/>
      <c r="F13" s="108"/>
      <c r="G13" s="37"/>
      <c r="H13" s="15"/>
      <c r="I13"/>
      <c r="J13"/>
      <c r="K13"/>
      <c r="L13"/>
      <c r="M13"/>
      <c r="N13"/>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row>
    <row r="14" spans="1:59" s="5" customFormat="1" ht="30" customHeight="1" x14ac:dyDescent="0.35">
      <c r="A14" s="17"/>
      <c r="B14" s="38">
        <f>B8*'Contribution Data'!C4</f>
        <v>431.24999999999994</v>
      </c>
      <c r="C14" s="36">
        <f>IF(B8&lt;'Contribution Data'!B22,'Contribution Data'!B23,'Contribution Data'!B24)</f>
        <v>93</v>
      </c>
      <c r="D14" s="36">
        <f>IF('Employee Data'!E8&lt;25,"0",IF('Employee Data'!E8&lt;=75,'Employee Data'!E8,IF('Employee Data'!E8&gt;74.99, "$75.00")))</f>
        <v>75</v>
      </c>
      <c r="E14" s="53"/>
      <c r="F14" s="108"/>
      <c r="G14" s="37"/>
      <c r="H14" s="15"/>
      <c r="I14"/>
      <c r="J14"/>
      <c r="K14"/>
      <c r="L14"/>
      <c r="M14"/>
      <c r="N14"/>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row>
    <row r="15" spans="1:59" s="4" customFormat="1" ht="60" customHeight="1" thickBot="1" x14ac:dyDescent="0.4">
      <c r="A15" s="18"/>
      <c r="B15" s="64" t="s">
        <v>19</v>
      </c>
      <c r="C15" s="65" t="s">
        <v>20</v>
      </c>
      <c r="D15" s="65" t="s">
        <v>25</v>
      </c>
      <c r="E15" s="53"/>
      <c r="F15" s="108"/>
      <c r="G15" s="37"/>
      <c r="H15" s="15"/>
      <c r="I15"/>
      <c r="J15"/>
      <c r="K15"/>
      <c r="L15"/>
      <c r="M15"/>
      <c r="N15"/>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row>
    <row r="16" spans="1:59" s="5" customFormat="1" ht="30" customHeight="1" x14ac:dyDescent="0.35">
      <c r="A16" s="17"/>
      <c r="B16" s="35">
        <f>IF(C8=5,H8*5, IF(C8=6,H8*6, IF(C8=7,H8*7,"$0")))</f>
        <v>86.538461538461533</v>
      </c>
      <c r="C16" s="36">
        <f>H8*5</f>
        <v>86.538461538461533</v>
      </c>
      <c r="D16" s="36">
        <f>H8*4.33</f>
        <v>74.942307692307693</v>
      </c>
      <c r="E16" s="53"/>
      <c r="F16" s="109"/>
      <c r="G16" s="37"/>
      <c r="H16" s="15"/>
      <c r="I16"/>
      <c r="J16"/>
      <c r="K16"/>
      <c r="L16"/>
      <c r="M16"/>
      <c r="N16"/>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row>
    <row r="17" spans="2:11" ht="12.75" customHeight="1" x14ac:dyDescent="0.2">
      <c r="E17" s="39"/>
      <c r="F17" s="39"/>
      <c r="G17" s="40"/>
      <c r="H17" s="15"/>
    </row>
    <row r="18" spans="2:11" ht="16.149999999999999" customHeight="1" x14ac:dyDescent="0.2">
      <c r="G18" s="15"/>
      <c r="H18" s="15"/>
    </row>
    <row r="19" spans="2:11" ht="27" thickBot="1" x14ac:dyDescent="0.5">
      <c r="B19" s="48" t="s">
        <v>28</v>
      </c>
      <c r="C19" s="41">
        <f>B8</f>
        <v>1500</v>
      </c>
      <c r="D19" s="42" t="s">
        <v>2</v>
      </c>
      <c r="G19" s="15"/>
      <c r="H19" s="15"/>
    </row>
    <row r="20" spans="2:11" ht="27.75" thickTop="1" thickBot="1" x14ac:dyDescent="0.5">
      <c r="B20" s="48" t="s">
        <v>12</v>
      </c>
      <c r="C20" s="41">
        <f>B10+C10+D10+B12+C12+D12+B14+C14+(D14/2)</f>
        <v>1197.7049999999999</v>
      </c>
      <c r="G20" s="15"/>
      <c r="H20" s="15"/>
    </row>
    <row r="21" spans="2:11" ht="13.5" thickTop="1" x14ac:dyDescent="0.2">
      <c r="G21" s="15"/>
      <c r="H21" s="15"/>
    </row>
    <row r="22" spans="2:11" ht="18.600000000000001" customHeight="1" x14ac:dyDescent="0.2">
      <c r="G22" s="15"/>
      <c r="H22" s="15"/>
    </row>
    <row r="23" spans="2:11" ht="17.25" x14ac:dyDescent="0.3">
      <c r="B23" s="73" t="s">
        <v>36</v>
      </c>
      <c r="C23" s="72"/>
      <c r="D23" s="72"/>
      <c r="E23" s="72"/>
      <c r="F23" s="72"/>
      <c r="G23" s="43"/>
      <c r="H23" s="15"/>
    </row>
    <row r="24" spans="2:11" ht="17.25" x14ac:dyDescent="0.3">
      <c r="B24" s="73" t="s">
        <v>37</v>
      </c>
      <c r="C24" s="72"/>
      <c r="D24" s="72"/>
      <c r="E24" s="72"/>
      <c r="F24" s="72"/>
      <c r="G24" s="43"/>
      <c r="H24" s="15"/>
    </row>
    <row r="25" spans="2:11" ht="27" customHeight="1" x14ac:dyDescent="0.3">
      <c r="B25" s="73" t="s">
        <v>26</v>
      </c>
      <c r="C25" s="74"/>
      <c r="D25" s="74"/>
      <c r="E25" s="74"/>
      <c r="F25" s="51"/>
      <c r="G25" s="43"/>
      <c r="H25" s="15"/>
    </row>
    <row r="26" spans="2:11" ht="27" customHeight="1" x14ac:dyDescent="0.3">
      <c r="B26" s="46" t="s">
        <v>71</v>
      </c>
      <c r="C26" s="47"/>
      <c r="D26" s="47"/>
      <c r="E26" s="47"/>
      <c r="F26" s="47"/>
      <c r="G26" s="44"/>
      <c r="H26" s="15"/>
    </row>
    <row r="27" spans="2:11" ht="27" customHeight="1" x14ac:dyDescent="0.3">
      <c r="B27" s="76" t="s">
        <v>38</v>
      </c>
      <c r="C27" s="75"/>
      <c r="D27" s="75"/>
      <c r="E27" s="75"/>
      <c r="F27" s="47"/>
      <c r="G27" s="44"/>
      <c r="H27" s="15"/>
    </row>
    <row r="28" spans="2:11" ht="17.25" x14ac:dyDescent="0.3">
      <c r="B28" s="76" t="s">
        <v>39</v>
      </c>
      <c r="C28" s="75"/>
      <c r="D28" s="75"/>
      <c r="E28" s="75"/>
      <c r="F28" s="47"/>
      <c r="G28" s="44"/>
      <c r="H28" s="15"/>
    </row>
    <row r="29" spans="2:11" ht="27" customHeight="1" x14ac:dyDescent="0.3">
      <c r="B29" s="46" t="s">
        <v>29</v>
      </c>
      <c r="G29" s="43"/>
      <c r="H29" s="15"/>
    </row>
    <row r="30" spans="2:11" ht="22.5" customHeight="1" x14ac:dyDescent="0.3">
      <c r="B30" s="73" t="s">
        <v>6</v>
      </c>
      <c r="C30" s="72"/>
      <c r="D30" s="72"/>
      <c r="E30" s="72"/>
      <c r="F30" s="50"/>
      <c r="G30" s="43"/>
      <c r="H30" s="15"/>
    </row>
    <row r="31" spans="2:11" ht="5.45" customHeight="1" x14ac:dyDescent="0.25">
      <c r="B31" s="45"/>
      <c r="C31" s="9"/>
      <c r="D31" s="9"/>
      <c r="E31" s="9"/>
      <c r="F31" s="9"/>
      <c r="G31" s="20"/>
      <c r="H31" s="49"/>
      <c r="I31" s="49"/>
      <c r="J31" s="49"/>
      <c r="K31" s="49"/>
    </row>
    <row r="32" spans="2:11" ht="19.149999999999999" customHeight="1" x14ac:dyDescent="0.3">
      <c r="B32" s="102" t="s">
        <v>72</v>
      </c>
      <c r="C32" s="9"/>
      <c r="D32" s="9"/>
      <c r="E32" s="9"/>
      <c r="F32" s="9"/>
      <c r="G32" s="20"/>
      <c r="H32" s="49"/>
      <c r="I32" s="49"/>
      <c r="J32" s="49"/>
      <c r="K32" s="49"/>
    </row>
    <row r="33" spans="7:13" x14ac:dyDescent="0.2">
      <c r="G33" s="15"/>
      <c r="H33" s="49"/>
      <c r="I33" s="49"/>
      <c r="J33" s="49"/>
      <c r="K33" s="49"/>
      <c r="M33" t="s">
        <v>0</v>
      </c>
    </row>
    <row r="34" spans="7:13" x14ac:dyDescent="0.2">
      <c r="G34" s="15"/>
      <c r="H34" s="15"/>
    </row>
    <row r="35" spans="7:13" x14ac:dyDescent="0.2">
      <c r="G35" s="15"/>
      <c r="H35" s="15"/>
    </row>
    <row r="36" spans="7:13" x14ac:dyDescent="0.2">
      <c r="G36" s="15"/>
      <c r="H36" s="15"/>
    </row>
    <row r="37" spans="7:13" x14ac:dyDescent="0.2">
      <c r="G37" s="15"/>
      <c r="H37" s="15"/>
    </row>
    <row r="38" spans="7:13" x14ac:dyDescent="0.2">
      <c r="G38" s="15"/>
      <c r="H38" s="15"/>
    </row>
    <row r="39" spans="7:13" x14ac:dyDescent="0.2">
      <c r="G39" s="15"/>
      <c r="H39" s="15"/>
      <c r="L39" s="7"/>
    </row>
    <row r="40" spans="7:13" x14ac:dyDescent="0.2">
      <c r="G40" s="15"/>
      <c r="H40" s="15"/>
    </row>
    <row r="41" spans="7:13" x14ac:dyDescent="0.2">
      <c r="G41" s="15"/>
      <c r="H41" s="15"/>
    </row>
    <row r="42" spans="7:13" x14ac:dyDescent="0.2">
      <c r="G42" s="15"/>
      <c r="H42" s="15"/>
    </row>
    <row r="43" spans="7:13" x14ac:dyDescent="0.2">
      <c r="G43" s="15"/>
      <c r="H43" s="15"/>
    </row>
    <row r="44" spans="7:13" x14ac:dyDescent="0.2">
      <c r="G44" s="15"/>
      <c r="H44" s="15"/>
    </row>
    <row r="45" spans="7:13" x14ac:dyDescent="0.2">
      <c r="G45" s="15"/>
      <c r="H45" s="15"/>
    </row>
    <row r="46" spans="7:13" x14ac:dyDescent="0.2">
      <c r="G46" s="15"/>
      <c r="H46" s="15"/>
    </row>
    <row r="47" spans="7:13" x14ac:dyDescent="0.2">
      <c r="G47" s="15"/>
      <c r="H47" s="15"/>
    </row>
    <row r="48" spans="7:13" x14ac:dyDescent="0.2">
      <c r="G48" s="15"/>
      <c r="H48" s="15"/>
    </row>
    <row r="49" spans="7:12" x14ac:dyDescent="0.2">
      <c r="G49" s="15"/>
      <c r="H49" s="15"/>
      <c r="L49" s="3" t="s">
        <v>1</v>
      </c>
    </row>
    <row r="50" spans="7:12" x14ac:dyDescent="0.2">
      <c r="G50" s="15"/>
      <c r="H50" s="15"/>
    </row>
    <row r="51" spans="7:12" x14ac:dyDescent="0.2">
      <c r="G51" s="15"/>
      <c r="H51" s="15"/>
    </row>
    <row r="52" spans="7:12" x14ac:dyDescent="0.2">
      <c r="G52" s="15"/>
      <c r="H52" s="15"/>
    </row>
  </sheetData>
  <sheetProtection algorithmName="SHA-512" hashValue="FYyfv8ylLFVh8THkBiY/0+xK6Q7OvHH4OlI0e5ViyNjiJShbG9ozRRwR3OelKBGwzniAhsCLKG+KWcOx1KTnkA==" saltValue="0Hmadule89kD/FaQ9jA9Cw==" spinCount="100000" sheet="1" selectLockedCells="1"/>
  <mergeCells count="9">
    <mergeCell ref="B3:K3"/>
    <mergeCell ref="H6:K6"/>
    <mergeCell ref="B1:K1"/>
    <mergeCell ref="F10:F16"/>
    <mergeCell ref="J7:K7"/>
    <mergeCell ref="J8:K8"/>
    <mergeCell ref="B2:K2"/>
    <mergeCell ref="B4:K4"/>
    <mergeCell ref="B6:F6"/>
  </mergeCells>
  <phoneticPr fontId="0" type="noConversion"/>
  <printOptions horizontalCentered="1" verticalCentered="1"/>
  <pageMargins left="0.25" right="0.25" top="0.15" bottom="0.15" header="0" footer="0"/>
  <pageSetup scale="53" orientation="landscape" r:id="rId1"/>
  <headerFooter alignWithMargins="0">
    <oddFooter xml:space="preserve">&amp;C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'Contribution Data'!$B$30:$B$31</xm:f>
          </x14:formula1>
          <xm:sqref>D8 F8</xm:sqref>
        </x14:dataValidation>
        <x14:dataValidation type="list" allowBlank="1" showInputMessage="1" showErrorMessage="1" xr:uid="{00000000-0002-0000-0000-000001000000}">
          <x14:formula1>
            <xm:f>'Contribution Data'!$B$26:$B$28</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7"/>
  <sheetViews>
    <sheetView workbookViewId="0">
      <selection activeCell="C13" sqref="C13"/>
    </sheetView>
  </sheetViews>
  <sheetFormatPr defaultRowHeight="12.75" x14ac:dyDescent="0.2"/>
  <cols>
    <col min="1" max="1" width="62.140625" bestFit="1" customWidth="1"/>
    <col min="2" max="2" width="19" bestFit="1" customWidth="1"/>
    <col min="3" max="3" width="22.28515625" bestFit="1" customWidth="1"/>
    <col min="4" max="4" width="14.28515625" bestFit="1" customWidth="1"/>
    <col min="5" max="5" width="71.7109375" bestFit="1" customWidth="1"/>
    <col min="6" max="8" width="9.140625" customWidth="1"/>
  </cols>
  <sheetData>
    <row r="1" spans="1:5" ht="15.75" x14ac:dyDescent="0.25">
      <c r="A1" s="84" t="s">
        <v>68</v>
      </c>
      <c r="B1" s="84" t="s">
        <v>53</v>
      </c>
      <c r="C1" s="84" t="s">
        <v>44</v>
      </c>
      <c r="D1" s="84" t="s">
        <v>40</v>
      </c>
      <c r="E1" s="84" t="s">
        <v>64</v>
      </c>
    </row>
    <row r="2" spans="1:5" x14ac:dyDescent="0.2">
      <c r="A2" s="86" t="s">
        <v>13</v>
      </c>
      <c r="B2" s="87">
        <f>'Employee Data'!B8</f>
        <v>1500</v>
      </c>
      <c r="C2" s="96" t="s">
        <v>65</v>
      </c>
      <c r="D2" s="14">
        <f>B2/$B$14</f>
        <v>0.55602817950813743</v>
      </c>
      <c r="E2" s="96" t="s">
        <v>66</v>
      </c>
    </row>
    <row r="3" spans="1:5" x14ac:dyDescent="0.2">
      <c r="A3" s="88" t="s">
        <v>42</v>
      </c>
      <c r="B3" s="89">
        <f>C3</f>
        <v>549</v>
      </c>
      <c r="C3" s="69">
        <v>549</v>
      </c>
      <c r="D3" s="14">
        <f>C3/$B$14</f>
        <v>0.20350631369997832</v>
      </c>
      <c r="E3" s="95"/>
    </row>
    <row r="4" spans="1:5" x14ac:dyDescent="0.2">
      <c r="A4" s="90" t="s">
        <v>24</v>
      </c>
      <c r="B4" s="89">
        <f>+'Employee Data'!B14</f>
        <v>431.24999999999994</v>
      </c>
      <c r="C4" s="79">
        <v>0.28749999999999998</v>
      </c>
      <c r="D4" s="14">
        <f>B4/$B$14</f>
        <v>0.15985810160858951</v>
      </c>
      <c r="E4" s="95"/>
    </row>
    <row r="5" spans="1:5" x14ac:dyDescent="0.2">
      <c r="A5" s="90" t="s">
        <v>15</v>
      </c>
      <c r="B5" s="89">
        <f>+'Employee Data'!C14</f>
        <v>93</v>
      </c>
      <c r="C5" s="79">
        <v>6.2E-2</v>
      </c>
      <c r="D5" s="14">
        <f>B5/$B$14</f>
        <v>3.4473747129504524E-2</v>
      </c>
      <c r="E5" s="95"/>
    </row>
    <row r="6" spans="1:5" x14ac:dyDescent="0.2">
      <c r="A6" s="88" t="s">
        <v>16</v>
      </c>
      <c r="B6" s="89">
        <f>+'Employee Data'!D10</f>
        <v>53.249999999999993</v>
      </c>
      <c r="C6" s="78">
        <v>3.5499999999999997E-2</v>
      </c>
      <c r="D6" s="14">
        <f>B6/$B$14</f>
        <v>1.9739000372538878E-2</v>
      </c>
      <c r="E6" s="95"/>
    </row>
    <row r="7" spans="1:5" x14ac:dyDescent="0.2">
      <c r="A7" s="88" t="s">
        <v>47</v>
      </c>
      <c r="B7" s="89">
        <f>'Employee Data'!D14/2</f>
        <v>37.5</v>
      </c>
      <c r="C7" s="2"/>
      <c r="D7" s="14">
        <f>B7/$B$14</f>
        <v>1.3900704487703437E-2</v>
      </c>
      <c r="E7" s="95"/>
    </row>
    <row r="8" spans="1:5" x14ac:dyDescent="0.2">
      <c r="A8" s="88" t="s">
        <v>11</v>
      </c>
      <c r="B8" s="89">
        <f>'Employee Data'!$B$10+'Employee Data'!$C$10+'Employee Data'!$C$12+'Employee Data'!$D$12</f>
        <v>33.704999999999998</v>
      </c>
      <c r="C8" s="2"/>
      <c r="D8" s="14">
        <f>B8/$B$14</f>
        <v>1.2493953193547848E-2</v>
      </c>
      <c r="E8" s="95"/>
    </row>
    <row r="9" spans="1:5" x14ac:dyDescent="0.2">
      <c r="A9" s="91" t="s">
        <v>41</v>
      </c>
      <c r="B9" s="89"/>
      <c r="C9" s="81">
        <v>2.3700000000000001E-3</v>
      </c>
      <c r="D9" s="101"/>
    </row>
    <row r="10" spans="1:5" x14ac:dyDescent="0.2">
      <c r="A10" s="92" t="s">
        <v>46</v>
      </c>
      <c r="B10" s="89"/>
      <c r="C10" s="81">
        <v>1.15E-3</v>
      </c>
      <c r="D10" s="101"/>
    </row>
    <row r="11" spans="1:5" x14ac:dyDescent="0.2">
      <c r="A11" s="91" t="s">
        <v>43</v>
      </c>
      <c r="B11" s="89"/>
      <c r="C11" s="81">
        <v>1.4500000000000001E-2</v>
      </c>
      <c r="D11" s="101"/>
    </row>
    <row r="12" spans="1:5" x14ac:dyDescent="0.2">
      <c r="A12" s="91" t="s">
        <v>45</v>
      </c>
      <c r="B12" s="89"/>
      <c r="C12" s="81">
        <v>4.45E-3</v>
      </c>
      <c r="D12" s="101"/>
    </row>
    <row r="13" spans="1:5" ht="16.5" thickBot="1" x14ac:dyDescent="0.3">
      <c r="A13" s="97" t="s">
        <v>34</v>
      </c>
      <c r="B13" s="98">
        <f>SUM(B3:B8)</f>
        <v>1197.7049999999999</v>
      </c>
      <c r="C13" s="81"/>
      <c r="D13" s="101"/>
    </row>
    <row r="14" spans="1:5" ht="16.5" thickTop="1" x14ac:dyDescent="0.25">
      <c r="A14" s="93" t="s">
        <v>33</v>
      </c>
      <c r="B14" s="94">
        <f>SUM(B2:B8)</f>
        <v>2697.7049999999999</v>
      </c>
      <c r="C14" s="2"/>
      <c r="D14" s="68"/>
    </row>
    <row r="15" spans="1:5" x14ac:dyDescent="0.2">
      <c r="C15" s="2"/>
      <c r="D15" s="2"/>
    </row>
    <row r="16" spans="1:5" ht="15.75" x14ac:dyDescent="0.25">
      <c r="A16" s="99" t="s">
        <v>32</v>
      </c>
      <c r="B16" s="100">
        <f>+'Employee Data'!C20</f>
        <v>1197.7049999999999</v>
      </c>
      <c r="C16" s="2"/>
    </row>
    <row r="17" spans="1:6" ht="15.75" x14ac:dyDescent="0.25">
      <c r="A17" s="84" t="s">
        <v>48</v>
      </c>
      <c r="B17" s="2">
        <f>SUM(B16-B13)</f>
        <v>0</v>
      </c>
      <c r="C17" s="2"/>
      <c r="E17" s="68" t="s">
        <v>69</v>
      </c>
    </row>
    <row r="18" spans="1:6" x14ac:dyDescent="0.2">
      <c r="A18" s="13"/>
      <c r="B18" s="2"/>
      <c r="C18" s="2"/>
      <c r="E18" s="2"/>
    </row>
    <row r="19" spans="1:6" ht="15.75" x14ac:dyDescent="0.25">
      <c r="A19" s="84" t="s">
        <v>59</v>
      </c>
      <c r="D19" s="2"/>
    </row>
    <row r="20" spans="1:6" x14ac:dyDescent="0.2">
      <c r="A20" s="13" t="s">
        <v>31</v>
      </c>
      <c r="B20" s="70">
        <v>176100</v>
      </c>
      <c r="C20" s="2"/>
      <c r="D20" s="2"/>
      <c r="E20" s="67" t="s">
        <v>70</v>
      </c>
    </row>
    <row r="21" spans="1:6" x14ac:dyDescent="0.2">
      <c r="A21" s="13" t="s">
        <v>30</v>
      </c>
      <c r="B21" s="71">
        <v>6.2E-2</v>
      </c>
      <c r="C21" s="77"/>
      <c r="D21" s="2"/>
    </row>
    <row r="22" spans="1:6" ht="12.75" customHeight="1" x14ac:dyDescent="0.2">
      <c r="A22" s="13" t="s">
        <v>35</v>
      </c>
      <c r="B22" s="2">
        <f>B20/24</f>
        <v>7337.5</v>
      </c>
      <c r="C22" s="2"/>
      <c r="D22" s="2"/>
    </row>
    <row r="23" spans="1:6" ht="12.75" customHeight="1" x14ac:dyDescent="0.2">
      <c r="A23" s="13" t="s">
        <v>60</v>
      </c>
      <c r="B23" s="2">
        <f>'Employee Data'!B8*(B21/100*100)</f>
        <v>93</v>
      </c>
      <c r="C23" s="2"/>
      <c r="D23" s="2"/>
      <c r="F23" s="1"/>
    </row>
    <row r="24" spans="1:6" x14ac:dyDescent="0.2">
      <c r="A24" s="13" t="s">
        <v>61</v>
      </c>
      <c r="B24" s="68">
        <f>B22*(B21/100*100)</f>
        <v>454.92500000000001</v>
      </c>
      <c r="C24" s="68"/>
      <c r="D24" s="2"/>
    </row>
    <row r="25" spans="1:6" ht="15.75" x14ac:dyDescent="0.25">
      <c r="A25" s="84" t="s">
        <v>62</v>
      </c>
    </row>
    <row r="26" spans="1:6" x14ac:dyDescent="0.2">
      <c r="A26" s="13" t="s">
        <v>50</v>
      </c>
      <c r="B26">
        <v>5</v>
      </c>
    </row>
    <row r="27" spans="1:6" x14ac:dyDescent="0.2">
      <c r="A27" s="13" t="s">
        <v>52</v>
      </c>
      <c r="B27">
        <v>6</v>
      </c>
    </row>
    <row r="28" spans="1:6" x14ac:dyDescent="0.2">
      <c r="A28" s="13" t="s">
        <v>51</v>
      </c>
      <c r="B28">
        <v>7</v>
      </c>
    </row>
    <row r="29" spans="1:6" ht="15.75" x14ac:dyDescent="0.25">
      <c r="A29" s="84" t="s">
        <v>63</v>
      </c>
    </row>
    <row r="30" spans="1:6" x14ac:dyDescent="0.2">
      <c r="A30" s="13" t="s">
        <v>54</v>
      </c>
      <c r="B30" s="85" t="s">
        <v>4</v>
      </c>
    </row>
    <row r="31" spans="1:6" x14ac:dyDescent="0.2">
      <c r="A31" s="13" t="s">
        <v>55</v>
      </c>
      <c r="B31" s="85" t="s">
        <v>5</v>
      </c>
    </row>
    <row r="37" spans="3:3" x14ac:dyDescent="0.2">
      <c r="C37" s="82"/>
    </row>
  </sheetData>
  <phoneticPr fontId="0" type="noConversion"/>
  <pageMargins left="0.75" right="0.75" top="1" bottom="1" header="0.5" footer="0.5"/>
  <pageSetup orientation="portrait" r:id="rId1"/>
  <headerFooter alignWithMargins="0"/>
  <ignoredErrors>
    <ignoredError sqref="D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Data</vt:lpstr>
      <vt:lpstr>Contribution Data</vt:lpstr>
      <vt:lpstr>'Employee Data'!Print_Area</vt:lpstr>
    </vt:vector>
  </TitlesOfParts>
  <Company>Missouri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burrea</dc:creator>
  <cp:lastModifiedBy>Roxanne James</cp:lastModifiedBy>
  <cp:lastPrinted>2022-11-21T15:06:54Z</cp:lastPrinted>
  <dcterms:created xsi:type="dcterms:W3CDTF">2002-11-18T20:52:48Z</dcterms:created>
  <dcterms:modified xsi:type="dcterms:W3CDTF">2025-04-18T16:31:50Z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3" name="PriorMapLocation">
    <vt:lpwstr>1Set2jh5Jw4elU2PPoGKHvcvzumfxFPbHIuhbuJMhLjnfLTfON8J/Ye95xpJpw92aaWAk2/ZLWGEpKYsye/kp3Ju4yUsLU5KCZY2t+t2kDTU=</vt:lpwstr>
  </property>
  <property fmtid="{D5CDD505-2E9C-101B-9397-08002B2CF9AE}" pid="4" name="MAPCITE Version">
    <vt:lpwstr>Version 1.3.1.4</vt:lpwstr>
  </property>
</Properties>
</file>